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ason\My Drive\Consulting\Checkoff\Design Collective\Resources\Calculators\"/>
    </mc:Choice>
  </mc:AlternateContent>
  <xr:revisionPtr revIDLastSave="0" documentId="13_ncr:1_{08A660C5-B675-449C-B3DE-FBF1C6FAFF89}" xr6:coauthVersionLast="47" xr6:coauthVersionMax="47" xr10:uidLastSave="{00000000-0000-0000-0000-000000000000}"/>
  <bookViews>
    <workbookView xWindow="-120" yWindow="-120" windowWidth="38640" windowHeight="21120" xr2:uid="{8329E48D-9D2C-489C-A130-7D88604D914C}"/>
  </bookViews>
  <sheets>
    <sheet name="User Notes" sheetId="11" r:id="rId1"/>
    <sheet name="User Inputs and Report" sheetId="6" r:id="rId2"/>
    <sheet name="Design Checks" sheetId="8" r:id="rId3"/>
  </sheets>
  <definedNames>
    <definedName name="_xlnm.Print_Area" localSheetId="1">'User Inputs and Report'!$M$1:$W$62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6" l="1"/>
  <c r="H7" i="6"/>
  <c r="H8" i="6" s="1"/>
  <c r="Q26" i="6"/>
  <c r="W32" i="6"/>
  <c r="W30" i="6"/>
  <c r="Q31" i="6"/>
  <c r="W31" i="6"/>
  <c r="Q30" i="6"/>
  <c r="W29" i="6"/>
  <c r="W28" i="6"/>
  <c r="W27" i="6"/>
  <c r="W26" i="6"/>
  <c r="Q29" i="6"/>
  <c r="Q28" i="6"/>
  <c r="Q27" i="6"/>
  <c r="T16" i="6"/>
  <c r="T15" i="6"/>
  <c r="T13" i="6"/>
  <c r="T12" i="6"/>
  <c r="T14" i="6"/>
  <c r="T24" i="6"/>
  <c r="T23" i="6"/>
  <c r="T22" i="6"/>
  <c r="T19" i="6"/>
  <c r="T11" i="6"/>
  <c r="T10" i="6"/>
  <c r="T20" i="6" l="1"/>
  <c r="G106" i="8" l="1"/>
  <c r="G136" i="8" s="1"/>
  <c r="G135" i="8" l="1"/>
  <c r="G133" i="8" l="1"/>
  <c r="G134" i="8" s="1"/>
  <c r="G111" i="8"/>
  <c r="G112" i="8"/>
  <c r="G113" i="8"/>
  <c r="G108" i="8"/>
  <c r="G104" i="8"/>
  <c r="G110" i="8" l="1"/>
  <c r="G147" i="8" s="1"/>
  <c r="G107" i="8"/>
  <c r="G75" i="8" l="1"/>
  <c r="G88" i="8" s="1"/>
  <c r="G90" i="8"/>
  <c r="G91" i="8" s="1"/>
  <c r="G71" i="8"/>
  <c r="G70" i="8"/>
  <c r="G81" i="8"/>
  <c r="G77" i="8"/>
  <c r="G79" i="8" s="1"/>
  <c r="G55" i="8"/>
  <c r="G54" i="8"/>
  <c r="G42" i="8"/>
  <c r="G41" i="8"/>
  <c r="G30" i="8"/>
  <c r="W450" i="8" l="1"/>
  <c r="W158" i="8"/>
  <c r="W449" i="8"/>
  <c r="W157" i="8"/>
  <c r="G78" i="8"/>
  <c r="G82" i="8" s="1"/>
  <c r="G29" i="8"/>
  <c r="G24" i="8"/>
  <c r="G32" i="8"/>
  <c r="G23" i="8"/>
  <c r="G21" i="8"/>
  <c r="G22" i="8" s="1"/>
  <c r="G6" i="8"/>
  <c r="G5" i="8"/>
  <c r="G4" i="8"/>
  <c r="G9" i="8"/>
  <c r="P15" i="8" s="1"/>
  <c r="G16" i="8"/>
  <c r="G18" i="8" s="1"/>
  <c r="G13" i="8"/>
  <c r="G12" i="8"/>
  <c r="G10" i="8"/>
  <c r="G11" i="8" s="1"/>
  <c r="G8" i="8"/>
  <c r="G105" i="8"/>
  <c r="G72" i="8"/>
  <c r="G109" i="8"/>
  <c r="G76" i="8"/>
  <c r="W445" i="8" l="1"/>
  <c r="W444" i="8"/>
  <c r="W443" i="8"/>
  <c r="W442" i="8"/>
  <c r="W441" i="8"/>
  <c r="W440" i="8"/>
  <c r="W153" i="8"/>
  <c r="W148" i="8"/>
  <c r="W152" i="8"/>
  <c r="W151" i="8"/>
  <c r="W150" i="8"/>
  <c r="W149" i="8"/>
  <c r="G151" i="8"/>
  <c r="G153" i="8"/>
  <c r="G74" i="8"/>
  <c r="G92" i="8"/>
  <c r="P6" i="8"/>
  <c r="G89" i="8"/>
  <c r="G80" i="8"/>
  <c r="G36" i="8"/>
  <c r="N54" i="8"/>
  <c r="T41" i="8"/>
  <c r="T42" i="8"/>
  <c r="T40" i="8"/>
  <c r="T38" i="8"/>
  <c r="T39" i="8"/>
  <c r="T43" i="8"/>
  <c r="T31" i="8"/>
  <c r="T28" i="8"/>
  <c r="T27" i="8"/>
  <c r="T26" i="8"/>
  <c r="T29" i="8"/>
  <c r="T30" i="8"/>
  <c r="G25" i="8"/>
  <c r="P14" i="8"/>
  <c r="P5" i="8"/>
  <c r="P7" i="8"/>
  <c r="P8" i="8"/>
  <c r="G14" i="8" s="1"/>
  <c r="G15" i="8" s="1"/>
  <c r="P9" i="8"/>
  <c r="P10" i="8"/>
  <c r="P11" i="8"/>
  <c r="P12" i="8"/>
  <c r="P13" i="8"/>
  <c r="G83" i="8"/>
  <c r="W451" i="8" l="1"/>
  <c r="W452" i="8" s="1"/>
  <c r="W455" i="8" s="1"/>
  <c r="G31" i="8"/>
  <c r="W159" i="8"/>
  <c r="W160" i="8" s="1"/>
  <c r="W165" i="8" s="1"/>
  <c r="W453" i="8"/>
  <c r="G33" i="8"/>
  <c r="G84" i="8"/>
  <c r="G85" i="8" s="1"/>
  <c r="G43" i="8"/>
  <c r="G44" i="8" s="1"/>
  <c r="N62" i="8" s="1"/>
  <c r="G56" i="8"/>
  <c r="G57" i="8" s="1"/>
  <c r="G61" i="8" s="1"/>
  <c r="G19" i="8"/>
  <c r="T33" i="6" s="1"/>
  <c r="W459" i="8" l="1"/>
  <c r="G38" i="8"/>
  <c r="T34" i="6"/>
  <c r="W456" i="8"/>
  <c r="W454" i="8"/>
  <c r="W457" i="8"/>
  <c r="W162" i="8"/>
  <c r="W164" i="8"/>
  <c r="W161" i="8"/>
  <c r="W167" i="8" s="1"/>
  <c r="W163" i="8"/>
  <c r="N58" i="8"/>
  <c r="N57" i="8"/>
  <c r="G45" i="8"/>
  <c r="G50" i="8" s="1"/>
  <c r="W458" i="8"/>
  <c r="G47" i="8"/>
  <c r="G48" i="8"/>
  <c r="G58" i="8"/>
  <c r="G64" i="8" s="1"/>
  <c r="G49" i="8"/>
  <c r="G46" i="8"/>
  <c r="N64" i="8"/>
  <c r="G60" i="8"/>
  <c r="N61" i="8"/>
  <c r="G62" i="8"/>
  <c r="N63" i="8"/>
  <c r="G59" i="8"/>
  <c r="G37" i="8"/>
  <c r="N55" i="8"/>
  <c r="N56" i="8"/>
  <c r="G39" i="8" l="1"/>
  <c r="T35" i="6" s="1"/>
  <c r="W460" i="8"/>
  <c r="W166" i="8"/>
  <c r="W168" i="8" s="1"/>
  <c r="G63" i="8"/>
  <c r="G65" i="8" s="1"/>
  <c r="G120" i="8" s="1"/>
  <c r="G51" i="8"/>
  <c r="G52" i="8" s="1"/>
  <c r="G119" i="8" s="1"/>
  <c r="G487" i="8" s="1"/>
  <c r="N59" i="8"/>
  <c r="G138" i="8" s="1"/>
  <c r="G117" i="8" l="1"/>
  <c r="G118" i="8" s="1"/>
  <c r="G86" i="8"/>
  <c r="G87" i="8" s="1"/>
  <c r="G98" i="8" s="1"/>
  <c r="G137" i="8"/>
  <c r="G157" i="8"/>
  <c r="G179" i="8"/>
  <c r="G201" i="8"/>
  <c r="G443" i="8"/>
  <c r="G223" i="8"/>
  <c r="G245" i="8"/>
  <c r="G267" i="8"/>
  <c r="G311" i="8"/>
  <c r="G333" i="8"/>
  <c r="G355" i="8"/>
  <c r="G399" i="8"/>
  <c r="G289" i="8"/>
  <c r="G377" i="8"/>
  <c r="G421" i="8"/>
  <c r="G509" i="8"/>
  <c r="G465" i="8"/>
  <c r="G96" i="8"/>
  <c r="N65" i="8"/>
  <c r="G97" i="8" l="1"/>
  <c r="O137" i="8"/>
  <c r="G93" i="8"/>
  <c r="G95" i="8" s="1"/>
  <c r="O138" i="8" s="1"/>
  <c r="G114" i="8"/>
  <c r="O139" i="8"/>
  <c r="G115" i="8"/>
  <c r="G121" i="8" s="1"/>
  <c r="G127" i="8"/>
  <c r="G94" i="8"/>
  <c r="G123" i="8" l="1"/>
  <c r="G124" i="8"/>
  <c r="G125" i="8" l="1"/>
  <c r="G126" i="8" s="1"/>
  <c r="G128" i="8" s="1"/>
  <c r="G130" i="8" l="1"/>
  <c r="O146" i="8"/>
  <c r="G158" i="8" s="1"/>
  <c r="G129" i="8"/>
  <c r="G148" i="8"/>
  <c r="O143" i="8" s="1"/>
  <c r="O140" i="8"/>
  <c r="G400" i="8" l="1"/>
  <c r="G224" i="8"/>
  <c r="G312" i="8"/>
  <c r="G378" i="8"/>
  <c r="G290" i="8"/>
  <c r="G356" i="8"/>
  <c r="G268" i="8"/>
  <c r="G422" i="8"/>
  <c r="G246" i="8"/>
  <c r="G334" i="8"/>
  <c r="G202" i="8"/>
  <c r="G180" i="8"/>
  <c r="G144" i="8"/>
  <c r="G145" i="8" s="1"/>
  <c r="G131" i="8"/>
  <c r="G132" i="8" s="1"/>
  <c r="O141" i="8" s="1"/>
  <c r="O147" i="8"/>
  <c r="T36" i="6" s="1"/>
  <c r="G139" i="8" l="1"/>
  <c r="G140" i="8" s="1"/>
  <c r="G141" i="8" s="1"/>
  <c r="G142" i="8" s="1"/>
  <c r="G152" i="8" s="1"/>
  <c r="O145" i="8" s="1"/>
  <c r="G143" i="8" l="1"/>
  <c r="G150" i="8"/>
  <c r="O144" i="8" l="1"/>
  <c r="O142" i="8"/>
  <c r="O149" i="8" l="1"/>
  <c r="G159" i="8" s="1"/>
  <c r="O165" i="8" s="1"/>
  <c r="G172" i="8" l="1"/>
  <c r="O159" i="8"/>
  <c r="G160" i="8"/>
  <c r="G161" i="8"/>
  <c r="O162" i="8" l="1"/>
  <c r="G169" i="8"/>
  <c r="G162" i="8"/>
  <c r="G170" i="8" l="1"/>
  <c r="G164" i="8"/>
  <c r="G163" i="8"/>
  <c r="O160" i="8" s="1"/>
  <c r="G165" i="8" l="1"/>
  <c r="G166" i="8" s="1"/>
  <c r="G167" i="8" s="1"/>
  <c r="G174" i="8" s="1"/>
  <c r="O163" i="8" s="1"/>
  <c r="G168" i="8" l="1"/>
  <c r="O161" i="8" s="1"/>
  <c r="G175" i="8"/>
  <c r="O164" i="8" s="1"/>
  <c r="O168" i="8" l="1"/>
  <c r="G181" i="8" s="1"/>
  <c r="G183" i="8" s="1"/>
  <c r="G182" i="8" l="1"/>
  <c r="G184" i="8" s="1"/>
  <c r="O187" i="8"/>
  <c r="O181" i="8"/>
  <c r="G194" i="8"/>
  <c r="O184" i="8" s="1"/>
  <c r="G191" i="8" l="1"/>
  <c r="G192" i="8" s="1"/>
  <c r="G185" i="8"/>
  <c r="O182" i="8" s="1"/>
  <c r="G186" i="8"/>
  <c r="G187" i="8" s="1"/>
  <c r="G188" i="8" s="1"/>
  <c r="G189" i="8" s="1"/>
  <c r="G196" i="8" s="1"/>
  <c r="O185" i="8" s="1"/>
  <c r="G197" i="8" l="1"/>
  <c r="O186" i="8" s="1"/>
  <c r="G190" i="8"/>
  <c r="O183" i="8" s="1"/>
  <c r="O190" i="8" l="1"/>
  <c r="G203" i="8" s="1"/>
  <c r="G204" i="8" s="1"/>
  <c r="O203" i="8" l="1"/>
  <c r="G216" i="8"/>
  <c r="O206" i="8" s="1"/>
  <c r="G205" i="8"/>
  <c r="G213" i="8" s="1"/>
  <c r="G214" i="8" s="1"/>
  <c r="O209" i="8"/>
  <c r="G206" i="8" l="1"/>
  <c r="G207" i="8" s="1"/>
  <c r="O204" i="8" s="1"/>
  <c r="G208" i="8" l="1"/>
  <c r="G209" i="8" s="1"/>
  <c r="G210" i="8" s="1"/>
  <c r="G211" i="8" s="1"/>
  <c r="G218" i="8" s="1"/>
  <c r="O207" i="8" s="1"/>
  <c r="G219" i="8" l="1"/>
  <c r="O208" i="8" s="1"/>
  <c r="G212" i="8"/>
  <c r="O205" i="8" s="1"/>
  <c r="O212" i="8" l="1"/>
  <c r="G225" i="8" s="1"/>
  <c r="G226" i="8" s="1"/>
  <c r="G238" i="8" l="1"/>
  <c r="O228" i="8" s="1"/>
  <c r="O225" i="8"/>
  <c r="G227" i="8"/>
  <c r="G228" i="8" s="1"/>
  <c r="G229" i="8" s="1"/>
  <c r="O226" i="8" s="1"/>
  <c r="O231" i="8"/>
  <c r="G235" i="8" l="1"/>
  <c r="G236" i="8" s="1"/>
  <c r="G230" i="8"/>
  <c r="G231" i="8" s="1"/>
  <c r="G232" i="8" s="1"/>
  <c r="G233" i="8" s="1"/>
  <c r="G240" i="8" s="1"/>
  <c r="O229" i="8" s="1"/>
  <c r="G241" i="8" l="1"/>
  <c r="O230" i="8" s="1"/>
  <c r="G234" i="8"/>
  <c r="O227" i="8" s="1"/>
  <c r="O234" i="8" l="1"/>
  <c r="G247" i="8" s="1"/>
  <c r="O253" i="8" s="1"/>
  <c r="G248" i="8" l="1"/>
  <c r="O247" i="8"/>
  <c r="G249" i="8"/>
  <c r="G260" i="8"/>
  <c r="O250" i="8" s="1"/>
  <c r="G250" i="8" l="1"/>
  <c r="G251" i="8" s="1"/>
  <c r="O248" i="8" s="1"/>
  <c r="G257" i="8"/>
  <c r="G258" i="8" s="1"/>
  <c r="G252" i="8" l="1"/>
  <c r="G253" i="8" s="1"/>
  <c r="G254" i="8" s="1"/>
  <c r="G255" i="8" s="1"/>
  <c r="G262" i="8" s="1"/>
  <c r="O251" i="8" s="1"/>
  <c r="G256" i="8" l="1"/>
  <c r="O249" i="8" s="1"/>
  <c r="G263" i="8"/>
  <c r="O252" i="8" s="1"/>
  <c r="O256" i="8" l="1"/>
  <c r="G269" i="8" s="1"/>
  <c r="O269" i="8" s="1"/>
  <c r="G271" i="8" l="1"/>
  <c r="G270" i="8"/>
  <c r="O275" i="8"/>
  <c r="G282" i="8"/>
  <c r="O272" i="8" s="1"/>
  <c r="G279" i="8" l="1"/>
  <c r="G280" i="8" s="1"/>
  <c r="G272" i="8"/>
  <c r="G273" i="8" s="1"/>
  <c r="O270" i="8" s="1"/>
  <c r="G274" i="8" l="1"/>
  <c r="G275" i="8" s="1"/>
  <c r="G276" i="8" s="1"/>
  <c r="G277" i="8" s="1"/>
  <c r="G284" i="8" s="1"/>
  <c r="O273" i="8" s="1"/>
  <c r="G285" i="8" l="1"/>
  <c r="O274" i="8" s="1"/>
  <c r="G278" i="8"/>
  <c r="O271" i="8" s="1"/>
  <c r="O278" i="8" l="1"/>
  <c r="G291" i="8" s="1"/>
  <c r="G292" i="8" s="1"/>
  <c r="G293" i="8" l="1"/>
  <c r="G294" i="8" s="1"/>
  <c r="G295" i="8" s="1"/>
  <c r="O292" i="8" s="1"/>
  <c r="O297" i="8"/>
  <c r="O291" i="8"/>
  <c r="G304" i="8"/>
  <c r="O294" i="8" s="1"/>
  <c r="G301" i="8" l="1"/>
  <c r="G302" i="8" s="1"/>
  <c r="G296" i="8"/>
  <c r="G297" i="8" s="1"/>
  <c r="G298" i="8" s="1"/>
  <c r="G299" i="8" s="1"/>
  <c r="G306" i="8" l="1"/>
  <c r="O295" i="8" s="1"/>
  <c r="G307" i="8"/>
  <c r="O296" i="8" s="1"/>
  <c r="G300" i="8"/>
  <c r="O293" i="8" s="1"/>
  <c r="O300" i="8" l="1"/>
  <c r="G313" i="8" s="1"/>
  <c r="G314" i="8" s="1"/>
  <c r="O313" i="8" l="1"/>
  <c r="G326" i="8"/>
  <c r="O316" i="8" s="1"/>
  <c r="G315" i="8"/>
  <c r="G323" i="8" s="1"/>
  <c r="G324" i="8" s="1"/>
  <c r="O319" i="8"/>
  <c r="G316" i="8" l="1"/>
  <c r="G318" i="8" l="1"/>
  <c r="G319" i="8" s="1"/>
  <c r="G320" i="8" s="1"/>
  <c r="G321" i="8" s="1"/>
  <c r="G317" i="8"/>
  <c r="O314" i="8" s="1"/>
  <c r="G328" i="8" l="1"/>
  <c r="O317" i="8" s="1"/>
  <c r="G322" i="8"/>
  <c r="O315" i="8" s="1"/>
  <c r="G329" i="8"/>
  <c r="O318" i="8" s="1"/>
  <c r="O322" i="8" l="1"/>
  <c r="G335" i="8" s="1"/>
  <c r="O335" i="8" l="1"/>
  <c r="G337" i="8"/>
  <c r="G336" i="8"/>
  <c r="G348" i="8"/>
  <c r="O338" i="8" s="1"/>
  <c r="O341" i="8"/>
  <c r="G338" i="8" l="1"/>
  <c r="G345" i="8"/>
  <c r="G346" i="8" s="1"/>
  <c r="G340" i="8" l="1"/>
  <c r="G341" i="8" s="1"/>
  <c r="G342" i="8" s="1"/>
  <c r="G343" i="8" s="1"/>
  <c r="G339" i="8"/>
  <c r="O336" i="8" s="1"/>
  <c r="G350" i="8" l="1"/>
  <c r="O339" i="8" s="1"/>
  <c r="G344" i="8"/>
  <c r="O337" i="8" s="1"/>
  <c r="G351" i="8"/>
  <c r="O340" i="8" s="1"/>
  <c r="O344" i="8" l="1"/>
  <c r="G357" i="8" s="1"/>
  <c r="G358" i="8" l="1"/>
  <c r="O357" i="8"/>
  <c r="G370" i="8"/>
  <c r="O360" i="8" s="1"/>
  <c r="G359" i="8"/>
  <c r="O363" i="8"/>
  <c r="G367" i="8" l="1"/>
  <c r="G368" i="8" s="1"/>
  <c r="G360" i="8"/>
  <c r="G361" i="8" l="1"/>
  <c r="O358" i="8" s="1"/>
  <c r="G362" i="8"/>
  <c r="G363" i="8" s="1"/>
  <c r="G364" i="8" s="1"/>
  <c r="G365" i="8" s="1"/>
  <c r="G372" i="8" l="1"/>
  <c r="O361" i="8" s="1"/>
  <c r="G366" i="8"/>
  <c r="O359" i="8" s="1"/>
  <c r="G373" i="8"/>
  <c r="O362" i="8" s="1"/>
  <c r="O366" i="8" l="1"/>
  <c r="G379" i="8" s="1"/>
  <c r="G380" i="8" l="1"/>
  <c r="O385" i="8"/>
  <c r="G381" i="8"/>
  <c r="G382" i="8" s="1"/>
  <c r="G383" i="8" s="1"/>
  <c r="O380" i="8" s="1"/>
  <c r="G392" i="8"/>
  <c r="O382" i="8" s="1"/>
  <c r="O379" i="8"/>
  <c r="G384" i="8" l="1"/>
  <c r="G385" i="8" s="1"/>
  <c r="G386" i="8" s="1"/>
  <c r="G387" i="8" s="1"/>
  <c r="G389" i="8"/>
  <c r="G390" i="8" s="1"/>
  <c r="G394" i="8" l="1"/>
  <c r="O383" i="8" s="1"/>
  <c r="G388" i="8"/>
  <c r="O381" i="8" s="1"/>
  <c r="G395" i="8"/>
  <c r="O384" i="8" s="1"/>
  <c r="O388" i="8" l="1"/>
  <c r="G401" i="8" s="1"/>
  <c r="G402" i="8" l="1"/>
  <c r="O407" i="8"/>
  <c r="G414" i="8"/>
  <c r="O404" i="8" s="1"/>
  <c r="O401" i="8"/>
  <c r="G403" i="8"/>
  <c r="G404" i="8" l="1"/>
  <c r="G405" i="8" s="1"/>
  <c r="O402" i="8" s="1"/>
  <c r="G411" i="8"/>
  <c r="G412" i="8" s="1"/>
  <c r="G406" i="8" l="1"/>
  <c r="G407" i="8" s="1"/>
  <c r="G408" i="8" s="1"/>
  <c r="G409" i="8" s="1"/>
  <c r="G416" i="8" s="1"/>
  <c r="O405" i="8" s="1"/>
  <c r="G417" i="8" l="1"/>
  <c r="O406" i="8" s="1"/>
  <c r="G410" i="8"/>
  <c r="O403" i="8" s="1"/>
  <c r="O410" i="8" l="1"/>
  <c r="G423" i="8" s="1"/>
  <c r="G424" i="8" s="1"/>
  <c r="G436" i="8" l="1"/>
  <c r="O426" i="8" s="1"/>
  <c r="G425" i="8"/>
  <c r="G426" i="8" s="1"/>
  <c r="G427" i="8" s="1"/>
  <c r="O424" i="8" s="1"/>
  <c r="O423" i="8"/>
  <c r="O429" i="8"/>
  <c r="G444" i="8" s="1"/>
  <c r="G510" i="8" s="1"/>
  <c r="G428" i="8" l="1"/>
  <c r="G429" i="8" s="1"/>
  <c r="G430" i="8" s="1"/>
  <c r="G431" i="8" s="1"/>
  <c r="G438" i="8" s="1"/>
  <c r="O427" i="8" s="1"/>
  <c r="G433" i="8"/>
  <c r="G434" i="8" s="1"/>
  <c r="G488" i="8"/>
  <c r="G466" i="8"/>
  <c r="G432" i="8" l="1"/>
  <c r="O425" i="8" s="1"/>
  <c r="G439" i="8"/>
  <c r="O428" i="8" s="1"/>
  <c r="O432" i="8" l="1"/>
  <c r="G445" i="8" s="1"/>
  <c r="O445" i="8" s="1"/>
  <c r="G447" i="8" l="1"/>
  <c r="G458" i="8"/>
  <c r="O448" i="8" s="1"/>
  <c r="G446" i="8"/>
  <c r="G455" i="8" s="1"/>
  <c r="G456" i="8" s="1"/>
  <c r="O451" i="8"/>
  <c r="G448" i="8" l="1"/>
  <c r="G449" i="8" s="1"/>
  <c r="O446" i="8" s="1"/>
  <c r="G450" i="8" l="1"/>
  <c r="G451" i="8" s="1"/>
  <c r="G452" i="8" s="1"/>
  <c r="G453" i="8" s="1"/>
  <c r="G460" i="8" s="1"/>
  <c r="O449" i="8" s="1"/>
  <c r="G461" i="8" l="1"/>
  <c r="O450" i="8" s="1"/>
  <c r="O454" i="8" s="1"/>
  <c r="G467" i="8" s="1"/>
  <c r="O473" i="8" s="1"/>
  <c r="G454" i="8"/>
  <c r="O447" i="8" s="1"/>
  <c r="G468" i="8" l="1"/>
  <c r="G469" i="8"/>
  <c r="O467" i="8"/>
  <c r="G480" i="8"/>
  <c r="O470" i="8" s="1"/>
  <c r="G477" i="8" l="1"/>
  <c r="G478" i="8" s="1"/>
  <c r="G470" i="8"/>
  <c r="G471" i="8" s="1"/>
  <c r="O468" i="8" s="1"/>
  <c r="G472" i="8" l="1"/>
  <c r="G473" i="8" s="1"/>
  <c r="G474" i="8" s="1"/>
  <c r="G475" i="8" s="1"/>
  <c r="G483" i="8" s="1"/>
  <c r="O472" i="8" s="1"/>
  <c r="G482" i="8" l="1"/>
  <c r="O471" i="8" s="1"/>
  <c r="G476" i="8"/>
  <c r="O469" i="8" s="1"/>
  <c r="O476" i="8" l="1"/>
  <c r="G489" i="8" s="1"/>
  <c r="O495" i="8" s="1"/>
  <c r="O489" i="8" l="1"/>
  <c r="G490" i="8"/>
  <c r="G491" i="8"/>
  <c r="G502" i="8"/>
  <c r="O492" i="8" s="1"/>
  <c r="G492" i="8"/>
  <c r="G493" i="8" s="1"/>
  <c r="O490" i="8" s="1"/>
  <c r="G499" i="8"/>
  <c r="G500" i="8" s="1"/>
  <c r="G494" i="8" l="1"/>
  <c r="G495" i="8" s="1"/>
  <c r="G496" i="8" s="1"/>
  <c r="G497" i="8" s="1"/>
  <c r="G505" i="8" s="1"/>
  <c r="O494" i="8" s="1"/>
  <c r="G504" i="8" l="1"/>
  <c r="O493" i="8" s="1"/>
  <c r="G498" i="8"/>
  <c r="O491" i="8" s="1"/>
  <c r="O498" i="8" s="1"/>
  <c r="G511" i="8" s="1"/>
  <c r="O517" i="8" s="1"/>
  <c r="O511" i="8" l="1"/>
  <c r="O522" i="8" s="1"/>
  <c r="T38" i="6" s="1"/>
  <c r="G513" i="8"/>
  <c r="G512" i="8"/>
  <c r="G524" i="8"/>
  <c r="O514" i="8" s="1"/>
  <c r="T41" i="6" s="1"/>
  <c r="G514" i="8"/>
  <c r="G515" i="8" s="1"/>
  <c r="O512" i="8" s="1"/>
  <c r="T39" i="6" s="1"/>
  <c r="G521" i="8" l="1"/>
  <c r="G522" i="8" s="1"/>
  <c r="E20" i="6"/>
  <c r="E21" i="6"/>
  <c r="G516" i="8"/>
  <c r="G517" i="8" l="1"/>
  <c r="G518" i="8" s="1"/>
  <c r="G519" i="8" s="1"/>
  <c r="G526" i="8" s="1"/>
  <c r="O515" i="8" s="1"/>
  <c r="T42" i="6" s="1"/>
  <c r="G527" i="8" l="1"/>
  <c r="O516" i="8" s="1"/>
  <c r="T43" i="6" s="1"/>
  <c r="G520" i="8"/>
  <c r="O513" i="8" s="1"/>
  <c r="T40" i="6" s="1"/>
  <c r="O520" i="8" l="1"/>
</calcChain>
</file>

<file path=xl/sharedStrings.xml><?xml version="1.0" encoding="utf-8"?>
<sst xmlns="http://schemas.openxmlformats.org/spreadsheetml/2006/main" count="822" uniqueCount="225">
  <si>
    <t xml:space="preserve">Wind Exposure Category = </t>
  </si>
  <si>
    <t>Rebar Size (No.)</t>
  </si>
  <si>
    <t xml:space="preserve">Seismic Design Category = </t>
  </si>
  <si>
    <t xml:space="preserve">Diameter of Joint Reinforcement (in.) = </t>
  </si>
  <si>
    <t xml:space="preserve">Maximum Strength-Controlled Design Span (in.) = </t>
  </si>
  <si>
    <t>Maximum Horizontal Span Design Checks</t>
  </si>
  <si>
    <t xml:space="preserve">Maximum Effective Compression Width (in.) = </t>
  </si>
  <si>
    <t xml:space="preserve">Spacing of Joint Reinforcement (in.) = </t>
  </si>
  <si>
    <t>Maximum Vertical Span Design Checks</t>
  </si>
  <si>
    <t>CMU Thickness (in.)</t>
  </si>
  <si>
    <r>
      <t xml:space="preserve">Basic Wind Speed, </t>
    </r>
    <r>
      <rPr>
        <i/>
        <sz val="11"/>
        <color theme="1"/>
        <rFont val="Cambria"/>
        <family val="1"/>
      </rPr>
      <t>V</t>
    </r>
    <r>
      <rPr>
        <sz val="11"/>
        <color theme="1"/>
        <rFont val="Cambria"/>
        <family val="1"/>
      </rPr>
      <t xml:space="preserve"> (mph) = </t>
    </r>
  </si>
  <si>
    <r>
      <t xml:space="preserve">Topographic Factor, </t>
    </r>
    <r>
      <rPr>
        <i/>
        <sz val="11"/>
        <color rgb="FF000000"/>
        <rFont val="Cambria"/>
        <family val="1"/>
      </rPr>
      <t>K</t>
    </r>
    <r>
      <rPr>
        <i/>
        <vertAlign val="subscript"/>
        <sz val="11"/>
        <color rgb="FF000000"/>
        <rFont val="Cambria"/>
        <family val="1"/>
      </rPr>
      <t>zt</t>
    </r>
    <r>
      <rPr>
        <sz val="11"/>
        <color rgb="FF000000"/>
        <rFont val="Cambria"/>
        <family val="1"/>
      </rPr>
      <t xml:space="preserve"> = </t>
    </r>
  </si>
  <si>
    <r>
      <t xml:space="preserve">Out-of-Plane Seismic Load, </t>
    </r>
    <r>
      <rPr>
        <i/>
        <sz val="11"/>
        <color theme="1"/>
        <rFont val="Cambria"/>
        <family val="1"/>
      </rPr>
      <t>F</t>
    </r>
    <r>
      <rPr>
        <i/>
        <vertAlign val="subscript"/>
        <sz val="11"/>
        <color theme="1"/>
        <rFont val="Cambria"/>
        <family val="1"/>
      </rPr>
      <t>p</t>
    </r>
    <r>
      <rPr>
        <sz val="11"/>
        <color theme="1"/>
        <rFont val="Cambria"/>
        <family val="1"/>
      </rPr>
      <t xml:space="preserve"> (lb/ft</t>
    </r>
    <r>
      <rPr>
        <vertAlign val="superscript"/>
        <sz val="11"/>
        <color theme="1"/>
        <rFont val="Cambria"/>
        <family val="1"/>
      </rPr>
      <t>2</t>
    </r>
    <r>
      <rPr>
        <sz val="11"/>
        <color theme="1"/>
        <rFont val="Cambria"/>
        <family val="1"/>
      </rPr>
      <t xml:space="preserve">) = </t>
    </r>
  </si>
  <si>
    <r>
      <t xml:space="preserve">Nominal Wall Thickness, </t>
    </r>
    <r>
      <rPr>
        <i/>
        <sz val="11"/>
        <color theme="1"/>
        <rFont val="Cambria"/>
        <family val="1"/>
      </rPr>
      <t>t</t>
    </r>
    <r>
      <rPr>
        <sz val="11"/>
        <color theme="1"/>
        <rFont val="Cambria"/>
        <family val="1"/>
      </rPr>
      <t xml:space="preserve"> (in.) = </t>
    </r>
  </si>
  <si>
    <r>
      <t>Area (in.</t>
    </r>
    <r>
      <rPr>
        <vertAlign val="superscript"/>
        <sz val="11"/>
        <color theme="1"/>
        <rFont val="Cambria"/>
        <family val="1"/>
      </rPr>
      <t>2</t>
    </r>
    <r>
      <rPr>
        <sz val="11"/>
        <color theme="1"/>
        <rFont val="Cambria"/>
        <family val="1"/>
      </rPr>
      <t>)</t>
    </r>
  </si>
  <si>
    <r>
      <t xml:space="preserve">Specified Masonry Compressive Strength, </t>
    </r>
    <r>
      <rPr>
        <i/>
        <sz val="11"/>
        <color theme="1"/>
        <rFont val="Cambria"/>
        <family val="1"/>
      </rPr>
      <t>f'</t>
    </r>
    <r>
      <rPr>
        <i/>
        <vertAlign val="subscript"/>
        <sz val="11"/>
        <color theme="1"/>
        <rFont val="Cambria"/>
        <family val="1"/>
      </rPr>
      <t>m</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</si>
  <si>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Specified Wall Thickness, </t>
    </r>
    <r>
      <rPr>
        <i/>
        <sz val="11"/>
        <color theme="1"/>
        <rFont val="Cambria"/>
        <family val="1"/>
      </rPr>
      <t>t</t>
    </r>
    <r>
      <rPr>
        <i/>
        <vertAlign val="subscript"/>
        <sz val="11"/>
        <color theme="1"/>
        <rFont val="Cambria"/>
        <family val="1"/>
      </rPr>
      <t>sp</t>
    </r>
    <r>
      <rPr>
        <sz val="11"/>
        <color theme="1"/>
        <rFont val="Cambria"/>
        <family val="1"/>
      </rPr>
      <t xml:space="preserve"> (in.) = </t>
    </r>
  </si>
  <si>
    <r>
      <t xml:space="preserve">Specified Yield Strength of Joint Reinforcement, </t>
    </r>
    <r>
      <rPr>
        <i/>
        <sz val="11"/>
        <color theme="1"/>
        <rFont val="Cambria"/>
        <family val="1"/>
      </rPr>
      <t>f</t>
    </r>
    <r>
      <rPr>
        <i/>
        <vertAlign val="subscript"/>
        <sz val="11"/>
        <color theme="1"/>
        <rFont val="Cambria"/>
        <family val="1"/>
      </rPr>
      <t>yJR</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</si>
  <si>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Modulus of Elasticity of Masonry, </t>
    </r>
    <r>
      <rPr>
        <i/>
        <sz val="11"/>
        <color theme="1"/>
        <rFont val="Cambria"/>
        <family val="1"/>
      </rPr>
      <t>E</t>
    </r>
    <r>
      <rPr>
        <i/>
        <vertAlign val="subscript"/>
        <sz val="11"/>
        <color theme="1"/>
        <rFont val="Cambria"/>
        <family val="1"/>
      </rPr>
      <t>m</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</si>
  <si>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Modulus of Elasticity of Reinforcement, </t>
    </r>
    <r>
      <rPr>
        <i/>
        <sz val="11"/>
        <color theme="1"/>
        <rFont val="Cambria"/>
        <family val="1"/>
      </rPr>
      <t>E</t>
    </r>
    <r>
      <rPr>
        <i/>
        <vertAlign val="subscript"/>
        <sz val="11"/>
        <color theme="1"/>
        <rFont val="Cambria"/>
        <family val="1"/>
      </rPr>
      <t>s</t>
    </r>
    <r>
      <rPr>
        <sz val="11"/>
        <color theme="1"/>
        <rFont val="Cambria"/>
        <family val="1"/>
      </rPr>
      <t xml:space="preserve"> (lb/in.</t>
    </r>
    <r>
      <rPr>
        <vertAlign val="superscript"/>
        <sz val="11"/>
        <color theme="1"/>
        <rFont val="Cambria"/>
        <family val="1"/>
      </rPr>
      <t>2</t>
    </r>
    <r>
      <rPr>
        <sz val="11"/>
        <color theme="1"/>
        <rFont val="Cambria"/>
        <family val="1"/>
      </rPr>
      <t xml:space="preserve">) = </t>
    </r>
  </si>
  <si>
    <r>
      <rPr>
        <i/>
        <sz val="11"/>
        <color theme="1"/>
        <rFont val="Cambria"/>
        <family val="1"/>
      </rPr>
      <t>I</t>
    </r>
    <r>
      <rPr>
        <i/>
        <vertAlign val="subscript"/>
        <sz val="11"/>
        <color theme="1"/>
        <rFont val="Cambria"/>
        <family val="1"/>
      </rPr>
      <t>n</t>
    </r>
    <r>
      <rPr>
        <sz val="11"/>
        <color theme="1"/>
        <rFont val="Cambria"/>
        <family val="1"/>
      </rPr>
      <t xml:space="preserve"> (in.</t>
    </r>
    <r>
      <rPr>
        <vertAlign val="superscript"/>
        <sz val="11"/>
        <color theme="1"/>
        <rFont val="Cambria"/>
        <family val="1"/>
      </rPr>
      <t>4</t>
    </r>
    <r>
      <rPr>
        <sz val="11"/>
        <color theme="1"/>
        <rFont val="Cambria"/>
        <family val="1"/>
      </rPr>
      <t>/ft)</t>
    </r>
  </si>
  <si>
    <r>
      <t xml:space="preserve">Modular Ratio, </t>
    </r>
    <r>
      <rPr>
        <i/>
        <sz val="11"/>
        <color theme="1"/>
        <rFont val="Cambria"/>
        <family val="1"/>
      </rPr>
      <t>n</t>
    </r>
    <r>
      <rPr>
        <sz val="11"/>
        <color theme="1"/>
        <rFont val="Cambria"/>
        <family val="1"/>
      </rPr>
      <t xml:space="preserve"> = </t>
    </r>
  </si>
  <si>
    <r>
      <t xml:space="preserve">Area of Joint Reinforcement, </t>
    </r>
    <r>
      <rPr>
        <i/>
        <sz val="11"/>
        <color theme="1"/>
        <rFont val="Cambria"/>
        <family val="1"/>
      </rPr>
      <t>A</t>
    </r>
    <r>
      <rPr>
        <i/>
        <vertAlign val="subscript"/>
        <sz val="11"/>
        <color theme="1"/>
        <rFont val="Cambria"/>
        <family val="1"/>
      </rPr>
      <t>sJR</t>
    </r>
    <r>
      <rPr>
        <sz val="11"/>
        <color theme="1"/>
        <rFont val="Cambria"/>
        <family val="1"/>
      </rPr>
      <t xml:space="preserve"> (in.</t>
    </r>
    <r>
      <rPr>
        <vertAlign val="superscript"/>
        <sz val="11"/>
        <color theme="1"/>
        <rFont val="Cambria"/>
        <family val="1"/>
      </rPr>
      <t>2</t>
    </r>
    <r>
      <rPr>
        <sz val="11"/>
        <color theme="1"/>
        <rFont val="Cambria"/>
        <family val="1"/>
      </rPr>
      <t xml:space="preserve">/ft) = </t>
    </r>
  </si>
  <si>
    <r>
      <t xml:space="preserve">Net Moment of Inertia, </t>
    </r>
    <r>
      <rPr>
        <i/>
        <sz val="11"/>
        <color theme="1"/>
        <rFont val="Cambria"/>
        <family val="1"/>
      </rPr>
      <t>I</t>
    </r>
    <r>
      <rPr>
        <i/>
        <vertAlign val="subscript"/>
        <sz val="11"/>
        <color theme="1"/>
        <rFont val="Cambria"/>
        <family val="1"/>
      </rPr>
      <t>n</t>
    </r>
    <r>
      <rPr>
        <sz val="11"/>
        <color theme="1"/>
        <rFont val="Cambria"/>
        <family val="1"/>
      </rPr>
      <t xml:space="preserve"> (in.</t>
    </r>
    <r>
      <rPr>
        <vertAlign val="superscript"/>
        <sz val="11"/>
        <color theme="1"/>
        <rFont val="Cambria"/>
        <family val="1"/>
      </rPr>
      <t>4</t>
    </r>
    <r>
      <rPr>
        <sz val="11"/>
        <color theme="1"/>
        <rFont val="Cambria"/>
        <family val="1"/>
      </rPr>
      <t xml:space="preserve">/ft) = </t>
    </r>
  </si>
  <si>
    <r>
      <t xml:space="preserve">Depth of Compression Block, </t>
    </r>
    <r>
      <rPr>
        <i/>
        <sz val="11"/>
        <color theme="1"/>
        <rFont val="Cambria"/>
        <family val="1"/>
      </rPr>
      <t>a</t>
    </r>
    <r>
      <rPr>
        <sz val="11"/>
        <color theme="1"/>
        <rFont val="Cambria"/>
        <family val="1"/>
      </rPr>
      <t xml:space="preserve"> (in.) = </t>
    </r>
  </si>
  <si>
    <r>
      <t xml:space="preserve">Depth of Neutral Axis , </t>
    </r>
    <r>
      <rPr>
        <i/>
        <sz val="11"/>
        <color theme="1"/>
        <rFont val="Cambria"/>
        <family val="1"/>
      </rPr>
      <t>c</t>
    </r>
    <r>
      <rPr>
        <sz val="11"/>
        <color theme="1"/>
        <rFont val="Cambria"/>
        <family val="1"/>
      </rPr>
      <t xml:space="preserve"> (in.) = </t>
    </r>
  </si>
  <si>
    <r>
      <t xml:space="preserve">Design Flexural Strength, </t>
    </r>
    <r>
      <rPr>
        <i/>
        <sz val="11"/>
        <color theme="1"/>
        <rFont val="Cambria"/>
        <family val="1"/>
      </rPr>
      <t>ϕM</t>
    </r>
    <r>
      <rPr>
        <i/>
        <vertAlign val="subscript"/>
        <sz val="11"/>
        <color theme="1"/>
        <rFont val="Cambria"/>
        <family val="1"/>
      </rPr>
      <t>n</t>
    </r>
    <r>
      <rPr>
        <sz val="11"/>
        <color theme="1"/>
        <rFont val="Cambria"/>
        <family val="1"/>
      </rPr>
      <t xml:space="preserve"> (in.-lb/ft) = </t>
    </r>
  </si>
  <si>
    <r>
      <t xml:space="preserve">Cracking Moment, </t>
    </r>
    <r>
      <rPr>
        <i/>
        <sz val="11"/>
        <color theme="1"/>
        <rFont val="Cambria"/>
        <family val="1"/>
      </rPr>
      <t>M</t>
    </r>
    <r>
      <rPr>
        <i/>
        <vertAlign val="subscript"/>
        <sz val="11"/>
        <color theme="1"/>
        <rFont val="Cambria"/>
        <family val="1"/>
      </rPr>
      <t>cr</t>
    </r>
    <r>
      <rPr>
        <sz val="11"/>
        <color theme="1"/>
        <rFont val="Cambria"/>
        <family val="1"/>
      </rPr>
      <t xml:space="preserve"> (in.-lb/ft) = </t>
    </r>
  </si>
  <si>
    <r>
      <t xml:space="preserve">Design Flexural Strength, </t>
    </r>
    <r>
      <rPr>
        <i/>
        <sz val="11"/>
        <color theme="1"/>
        <rFont val="Cambria"/>
        <family val="1"/>
      </rPr>
      <t>ϕM</t>
    </r>
    <r>
      <rPr>
        <i/>
        <vertAlign val="subscript"/>
        <sz val="11"/>
        <color theme="1"/>
        <rFont val="Cambria"/>
        <family val="1"/>
      </rPr>
      <t>n</t>
    </r>
    <r>
      <rPr>
        <sz val="11"/>
        <color theme="1"/>
        <rFont val="Cambria"/>
        <family val="1"/>
      </rPr>
      <t xml:space="preserve"> (ft-lb/ft) = </t>
    </r>
  </si>
  <si>
    <r>
      <t xml:space="preserve">Allowable Stress Level Design Moment, </t>
    </r>
    <r>
      <rPr>
        <i/>
        <sz val="11"/>
        <color theme="1"/>
        <rFont val="Cambria"/>
        <family val="1"/>
      </rPr>
      <t>M</t>
    </r>
    <r>
      <rPr>
        <i/>
        <vertAlign val="subscript"/>
        <sz val="11"/>
        <color theme="1"/>
        <rFont val="Cambria"/>
        <family val="1"/>
      </rPr>
      <t>s</t>
    </r>
    <r>
      <rPr>
        <sz val="11"/>
        <color theme="1"/>
        <rFont val="Cambria"/>
        <family val="1"/>
      </rPr>
      <t xml:space="preserve"> (in.-lb/ft) = </t>
    </r>
  </si>
  <si>
    <r>
      <t xml:space="preserve">Cracked Moment of Inertia, </t>
    </r>
    <r>
      <rPr>
        <i/>
        <sz val="11"/>
        <color theme="1"/>
        <rFont val="Cambria"/>
        <family val="1"/>
      </rPr>
      <t>I</t>
    </r>
    <r>
      <rPr>
        <i/>
        <vertAlign val="subscript"/>
        <sz val="11"/>
        <color theme="1"/>
        <rFont val="Cambria"/>
        <family val="1"/>
      </rPr>
      <t>cr</t>
    </r>
    <r>
      <rPr>
        <sz val="11"/>
        <color theme="1"/>
        <rFont val="Cambria"/>
        <family val="1"/>
      </rPr>
      <t xml:space="preserve"> (in.</t>
    </r>
    <r>
      <rPr>
        <vertAlign val="superscript"/>
        <sz val="11"/>
        <color theme="1"/>
        <rFont val="Cambria"/>
        <family val="1"/>
      </rPr>
      <t>4</t>
    </r>
    <r>
      <rPr>
        <sz val="11"/>
        <color theme="1"/>
        <rFont val="Cambria"/>
        <family val="1"/>
      </rPr>
      <t xml:space="preserve">/ft) = </t>
    </r>
  </si>
  <si>
    <r>
      <t xml:space="preserve">Normalized Effective Compression Width, </t>
    </r>
    <r>
      <rPr>
        <i/>
        <sz val="11"/>
        <color theme="1"/>
        <rFont val="Cambria"/>
        <family val="1"/>
      </rPr>
      <t>b</t>
    </r>
    <r>
      <rPr>
        <sz val="11"/>
        <color theme="1"/>
        <rFont val="Cambria"/>
        <family val="1"/>
      </rPr>
      <t xml:space="preserve"> (in.) = </t>
    </r>
  </si>
  <si>
    <r>
      <t xml:space="preserve">Parameter </t>
    </r>
    <r>
      <rPr>
        <i/>
        <sz val="11"/>
        <color theme="1"/>
        <rFont val="Cambria"/>
        <family val="1"/>
      </rPr>
      <t>Q</t>
    </r>
    <r>
      <rPr>
        <sz val="11"/>
        <color theme="1"/>
        <rFont val="Cambria"/>
        <family val="1"/>
      </rPr>
      <t xml:space="preserve"> (lb/in.) = </t>
    </r>
  </si>
  <si>
    <r>
      <rPr>
        <i/>
        <sz val="11"/>
        <color theme="1"/>
        <rFont val="Cambria"/>
        <family val="1"/>
      </rPr>
      <t>A</t>
    </r>
    <r>
      <rPr>
        <i/>
        <vertAlign val="subscript"/>
        <sz val="11"/>
        <color theme="1"/>
        <rFont val="Cambria"/>
        <family val="1"/>
      </rPr>
      <t>n</t>
    </r>
    <r>
      <rPr>
        <sz val="11"/>
        <color theme="1"/>
        <rFont val="Cambria"/>
        <family val="1"/>
      </rPr>
      <t xml:space="preserve"> (in./ft)</t>
    </r>
  </si>
  <si>
    <t>Assembly Properties</t>
  </si>
  <si>
    <t xml:space="preserve">Vertical Reinforcement Size (No.) = </t>
  </si>
  <si>
    <t xml:space="preserve">Mortar Type = </t>
  </si>
  <si>
    <r>
      <t>CMU Density (lb/ft</t>
    </r>
    <r>
      <rPr>
        <vertAlign val="superscript"/>
        <sz val="11"/>
        <color theme="1"/>
        <rFont val="Cambria"/>
        <family val="1"/>
      </rPr>
      <t>3</t>
    </r>
    <r>
      <rPr>
        <sz val="11"/>
        <color theme="1"/>
        <rFont val="Cambria"/>
        <family val="1"/>
      </rPr>
      <t xml:space="preserve">) = </t>
    </r>
  </si>
  <si>
    <t xml:space="preserve">Axial Dead Load (lb/ft) = </t>
  </si>
  <si>
    <t xml:space="preserve">Axial Live Load (lb/ft) = </t>
  </si>
  <si>
    <r>
      <t xml:space="preserve">Ground Elevation Factor, </t>
    </r>
    <r>
      <rPr>
        <i/>
        <sz val="11"/>
        <color theme="1"/>
        <rFont val="Cambria"/>
        <family val="1"/>
      </rPr>
      <t>K</t>
    </r>
    <r>
      <rPr>
        <i/>
        <vertAlign val="subscript"/>
        <sz val="11"/>
        <color theme="1"/>
        <rFont val="Cambria"/>
        <family val="1"/>
      </rPr>
      <t>e</t>
    </r>
    <r>
      <rPr>
        <sz val="11"/>
        <color theme="1"/>
        <rFont val="Cambria"/>
        <family val="1"/>
      </rPr>
      <t xml:space="preserve"> = </t>
    </r>
  </si>
  <si>
    <r>
      <t xml:space="preserve">Vertical Wall Height, </t>
    </r>
    <r>
      <rPr>
        <i/>
        <sz val="11"/>
        <color theme="1"/>
        <rFont val="Cambria"/>
        <family val="1"/>
      </rPr>
      <t>H</t>
    </r>
    <r>
      <rPr>
        <sz val="11"/>
        <color theme="1"/>
        <rFont val="Cambria"/>
        <family val="1"/>
      </rPr>
      <t xml:space="preserve"> (ft) = </t>
    </r>
  </si>
  <si>
    <r>
      <t xml:space="preserve">Specified Yield Strength of Vertical Reinforcement, </t>
    </r>
    <r>
      <rPr>
        <i/>
        <sz val="11"/>
        <color theme="1"/>
        <rFont val="Cambria"/>
        <family val="1"/>
      </rPr>
      <t>f</t>
    </r>
    <r>
      <rPr>
        <i/>
        <vertAlign val="subscript"/>
        <sz val="11"/>
        <color theme="1"/>
        <rFont val="Cambria"/>
        <family val="1"/>
      </rPr>
      <t>yVR</t>
    </r>
    <r>
      <rPr>
        <sz val="11"/>
        <color theme="1"/>
        <rFont val="Cambria"/>
        <family val="1"/>
      </rPr>
      <t xml:space="preserve"> (lb/in.</t>
    </r>
    <r>
      <rPr>
        <vertAlign val="superscript"/>
        <sz val="11"/>
        <color theme="1"/>
        <rFont val="Cambria"/>
        <family val="1"/>
      </rPr>
      <t>2</t>
    </r>
    <r>
      <rPr>
        <sz val="11"/>
        <color theme="1"/>
        <rFont val="Cambria"/>
        <family val="1"/>
      </rPr>
      <t xml:space="preserve">) = </t>
    </r>
  </si>
  <si>
    <t xml:space="preserve">Size of Joint Reinforcement = </t>
  </si>
  <si>
    <t>9 gauge</t>
  </si>
  <si>
    <r>
      <t xml:space="preserve">Effective Depth of Vertical Reinforcement, </t>
    </r>
    <r>
      <rPr>
        <i/>
        <sz val="11"/>
        <color theme="1"/>
        <rFont val="Cambria"/>
        <family val="1"/>
      </rPr>
      <t>d</t>
    </r>
    <r>
      <rPr>
        <i/>
        <vertAlign val="subscript"/>
        <sz val="11"/>
        <color theme="1"/>
        <rFont val="Cambria"/>
        <family val="1"/>
      </rPr>
      <t>VR</t>
    </r>
    <r>
      <rPr>
        <sz val="11"/>
        <color theme="1"/>
        <rFont val="Cambria"/>
        <family val="1"/>
      </rPr>
      <t xml:space="preserve"> (in.) = </t>
    </r>
  </si>
  <si>
    <t>Design Loading</t>
  </si>
  <si>
    <r>
      <t>Out-of-Plane Live Load (lb/ft</t>
    </r>
    <r>
      <rPr>
        <vertAlign val="superscript"/>
        <sz val="11"/>
        <color theme="1"/>
        <rFont val="Cambria"/>
        <family val="1"/>
      </rPr>
      <t>2</t>
    </r>
    <r>
      <rPr>
        <sz val="11"/>
        <color theme="1"/>
        <rFont val="Cambria"/>
        <family val="1"/>
      </rPr>
      <t xml:space="preserve">) = </t>
    </r>
  </si>
  <si>
    <t xml:space="preserve">Ground Elevation (ft) = </t>
  </si>
  <si>
    <t xml:space="preserve">Mean Roof Height (ft) = </t>
  </si>
  <si>
    <t xml:space="preserve">Building Enclosure Classification = </t>
  </si>
  <si>
    <t>Enclosed or Partially Open</t>
  </si>
  <si>
    <r>
      <t xml:space="preserve">Short Period Spectral Response Parameter, </t>
    </r>
    <r>
      <rPr>
        <i/>
        <sz val="11"/>
        <color theme="1"/>
        <rFont val="Cambria"/>
        <family val="1"/>
      </rPr>
      <t>S</t>
    </r>
    <r>
      <rPr>
        <i/>
        <vertAlign val="subscript"/>
        <sz val="11"/>
        <color theme="1"/>
        <rFont val="Cambria"/>
        <family val="1"/>
      </rPr>
      <t>MS</t>
    </r>
    <r>
      <rPr>
        <sz val="11"/>
        <color theme="1"/>
        <rFont val="Cambria"/>
        <family val="1"/>
      </rPr>
      <t xml:space="preserve"> = </t>
    </r>
  </si>
  <si>
    <r>
      <t xml:space="preserve">Importance Factor, </t>
    </r>
    <r>
      <rPr>
        <i/>
        <sz val="11"/>
        <color theme="1"/>
        <rFont val="Cambria"/>
        <family val="1"/>
      </rPr>
      <t>I</t>
    </r>
    <r>
      <rPr>
        <i/>
        <vertAlign val="subscript"/>
        <sz val="11"/>
        <color theme="1"/>
        <rFont val="Cambria"/>
        <family val="1"/>
      </rPr>
      <t>p</t>
    </r>
    <r>
      <rPr>
        <sz val="11"/>
        <color theme="1"/>
        <rFont val="Cambria"/>
        <family val="1"/>
      </rPr>
      <t xml:space="preserve"> = </t>
    </r>
  </si>
  <si>
    <t xml:space="preserve">Location of Partition Above Grade (ft) = </t>
  </si>
  <si>
    <r>
      <t xml:space="preserve">Internal Design Wind Pressure, </t>
    </r>
    <r>
      <rPr>
        <i/>
        <sz val="11"/>
        <color theme="1"/>
        <rFont val="Cambria"/>
        <family val="1"/>
      </rPr>
      <t>p</t>
    </r>
    <r>
      <rPr>
        <sz val="11"/>
        <color theme="1"/>
        <rFont val="Cambria"/>
        <family val="1"/>
      </rPr>
      <t xml:space="preserve"> (lb/ft</t>
    </r>
    <r>
      <rPr>
        <vertAlign val="superscript"/>
        <sz val="11"/>
        <color theme="1"/>
        <rFont val="Cambria"/>
        <family val="1"/>
      </rPr>
      <t>2</t>
    </r>
    <r>
      <rPr>
        <sz val="11"/>
        <color theme="1"/>
        <rFont val="Cambria"/>
        <family val="1"/>
      </rPr>
      <t xml:space="preserve">) = </t>
    </r>
  </si>
  <si>
    <t>Superimposed Dead and Live Loads</t>
  </si>
  <si>
    <r>
      <t xml:space="preserve">Mean Roof Height, </t>
    </r>
    <r>
      <rPr>
        <i/>
        <sz val="11"/>
        <color theme="1"/>
        <rFont val="Cambria"/>
        <family val="1"/>
      </rPr>
      <t>z</t>
    </r>
    <r>
      <rPr>
        <sz val="11"/>
        <color theme="1"/>
        <rFont val="Cambria"/>
        <family val="1"/>
      </rPr>
      <t xml:space="preserve"> (ft) = </t>
    </r>
  </si>
  <si>
    <r>
      <t xml:space="preserve">Pressure Exposure Coefficient, </t>
    </r>
    <r>
      <rPr>
        <i/>
        <sz val="11"/>
        <color theme="1"/>
        <rFont val="Cambria"/>
        <family val="1"/>
      </rPr>
      <t>K</t>
    </r>
    <r>
      <rPr>
        <i/>
        <vertAlign val="subscript"/>
        <sz val="11"/>
        <color theme="1"/>
        <rFont val="Cambria"/>
        <family val="1"/>
      </rPr>
      <t>z</t>
    </r>
    <r>
      <rPr>
        <sz val="11"/>
        <color theme="1"/>
        <rFont val="Cambria"/>
        <family val="1"/>
      </rPr>
      <t xml:space="preserve"> = </t>
    </r>
  </si>
  <si>
    <r>
      <t xml:space="preserve">Velocity Pressure, </t>
    </r>
    <r>
      <rPr>
        <i/>
        <sz val="11"/>
        <color theme="1"/>
        <rFont val="Cambria"/>
        <family val="1"/>
      </rPr>
      <t>q</t>
    </r>
    <r>
      <rPr>
        <sz val="11"/>
        <color theme="1"/>
        <rFont val="Cambria"/>
        <family val="1"/>
      </rPr>
      <t xml:space="preserve"> (lb/ft</t>
    </r>
    <r>
      <rPr>
        <vertAlign val="superscript"/>
        <sz val="11"/>
        <color theme="1"/>
        <rFont val="Cambria"/>
        <family val="1"/>
      </rPr>
      <t>2</t>
    </r>
    <r>
      <rPr>
        <sz val="11"/>
        <color theme="1"/>
        <rFont val="Cambria"/>
        <family val="1"/>
      </rPr>
      <t xml:space="preserve">) = </t>
    </r>
  </si>
  <si>
    <r>
      <t xml:space="preserve">Directionality Factor, </t>
    </r>
    <r>
      <rPr>
        <i/>
        <sz val="11"/>
        <color theme="1"/>
        <rFont val="Cambria"/>
        <family val="1"/>
      </rPr>
      <t>K</t>
    </r>
    <r>
      <rPr>
        <i/>
        <vertAlign val="subscript"/>
        <sz val="11"/>
        <color theme="1"/>
        <rFont val="Cambria"/>
        <family val="1"/>
      </rPr>
      <t>d</t>
    </r>
    <r>
      <rPr>
        <sz val="11"/>
        <color theme="1"/>
        <rFont val="Cambria"/>
        <family val="1"/>
      </rPr>
      <t xml:space="preserve"> = </t>
    </r>
  </si>
  <si>
    <r>
      <t xml:space="preserve">Internal Pressure Coefficient, </t>
    </r>
    <r>
      <rPr>
        <i/>
        <sz val="11"/>
        <color theme="1"/>
        <rFont val="Cambria"/>
        <family val="1"/>
      </rPr>
      <t>GC</t>
    </r>
    <r>
      <rPr>
        <i/>
        <vertAlign val="subscript"/>
        <sz val="11"/>
        <color theme="1"/>
        <rFont val="Cambria"/>
        <family val="1"/>
      </rPr>
      <t>pi</t>
    </r>
    <r>
      <rPr>
        <sz val="11"/>
        <color theme="1"/>
        <rFont val="Cambria"/>
        <family val="1"/>
      </rPr>
      <t xml:space="preserve"> = </t>
    </r>
  </si>
  <si>
    <t>Height above grade (ft)</t>
  </si>
  <si>
    <r>
      <t xml:space="preserve">Pressure Exposure Coefficient, </t>
    </r>
    <r>
      <rPr>
        <i/>
        <sz val="11"/>
        <color theme="1"/>
        <rFont val="Cambria"/>
        <family val="1"/>
      </rPr>
      <t>K</t>
    </r>
    <r>
      <rPr>
        <i/>
        <vertAlign val="subscript"/>
        <sz val="11"/>
        <color theme="1"/>
        <rFont val="Cambria"/>
        <family val="1"/>
      </rPr>
      <t>z</t>
    </r>
  </si>
  <si>
    <r>
      <t xml:space="preserve">Design Short Period Spectral Response Parameter, </t>
    </r>
    <r>
      <rPr>
        <i/>
        <sz val="11"/>
        <color theme="1"/>
        <rFont val="Cambria"/>
        <family val="1"/>
      </rPr>
      <t>S</t>
    </r>
    <r>
      <rPr>
        <i/>
        <vertAlign val="subscript"/>
        <sz val="11"/>
        <color theme="1"/>
        <rFont val="Cambria"/>
        <family val="1"/>
      </rPr>
      <t>DS</t>
    </r>
    <r>
      <rPr>
        <sz val="11"/>
        <color theme="1"/>
        <rFont val="Cambria"/>
        <family val="1"/>
      </rPr>
      <t xml:space="preserve"> = </t>
    </r>
  </si>
  <si>
    <r>
      <t xml:space="preserve">Seismic Force Aplification Factor, </t>
    </r>
    <r>
      <rPr>
        <i/>
        <sz val="11"/>
        <color theme="1"/>
        <rFont val="Cambria"/>
        <family val="1"/>
      </rPr>
      <t>H</t>
    </r>
    <r>
      <rPr>
        <i/>
        <vertAlign val="subscript"/>
        <sz val="11"/>
        <color theme="1"/>
        <rFont val="Cambria"/>
        <family val="1"/>
      </rPr>
      <t>f</t>
    </r>
    <r>
      <rPr>
        <sz val="11"/>
        <color theme="1"/>
        <rFont val="Cambria"/>
        <family val="1"/>
      </rPr>
      <t xml:space="preserve"> = </t>
    </r>
  </si>
  <si>
    <r>
      <t xml:space="preserve">Ductility Reduction Factor, </t>
    </r>
    <r>
      <rPr>
        <i/>
        <sz val="11"/>
        <color theme="1"/>
        <rFont val="Cambria"/>
        <family val="1"/>
      </rPr>
      <t>R</t>
    </r>
    <r>
      <rPr>
        <i/>
        <vertAlign val="subscript"/>
        <sz val="11"/>
        <color theme="1"/>
        <rFont val="Cambria"/>
        <family val="1"/>
      </rPr>
      <t>μ</t>
    </r>
    <r>
      <rPr>
        <sz val="11"/>
        <color theme="1"/>
        <rFont val="Cambria"/>
        <family val="1"/>
      </rPr>
      <t xml:space="preserve"> = </t>
    </r>
  </si>
  <si>
    <r>
      <t xml:space="preserve">Resonance Ductility Factor, </t>
    </r>
    <r>
      <rPr>
        <i/>
        <sz val="11"/>
        <color theme="1"/>
        <rFont val="Cambria"/>
        <family val="1"/>
      </rPr>
      <t>C</t>
    </r>
    <r>
      <rPr>
        <i/>
        <vertAlign val="subscript"/>
        <sz val="11"/>
        <color theme="1"/>
        <rFont val="Cambria"/>
        <family val="1"/>
      </rPr>
      <t>AR</t>
    </r>
    <r>
      <rPr>
        <sz val="11"/>
        <color theme="1"/>
        <rFont val="Cambria"/>
        <family val="1"/>
      </rPr>
      <t xml:space="preserve"> = </t>
    </r>
  </si>
  <si>
    <r>
      <t xml:space="preserve">Partition Strenth Factor, </t>
    </r>
    <r>
      <rPr>
        <i/>
        <sz val="11"/>
        <color theme="1"/>
        <rFont val="Cambria"/>
        <family val="1"/>
      </rPr>
      <t>R</t>
    </r>
    <r>
      <rPr>
        <i/>
        <vertAlign val="subscript"/>
        <sz val="11"/>
        <color theme="1"/>
        <rFont val="Cambria"/>
        <family val="1"/>
      </rPr>
      <t>po</t>
    </r>
    <r>
      <rPr>
        <sz val="11"/>
        <color theme="1"/>
        <rFont val="Cambria"/>
        <family val="1"/>
      </rPr>
      <t xml:space="preserve"> = </t>
    </r>
  </si>
  <si>
    <t>Wall Thickness (in.)</t>
  </si>
  <si>
    <r>
      <t>CMU Density = 105 lb/ft</t>
    </r>
    <r>
      <rPr>
        <vertAlign val="superscript"/>
        <sz val="11"/>
        <color theme="1"/>
        <rFont val="Cambria"/>
        <family val="1"/>
      </rPr>
      <t>3</t>
    </r>
  </si>
  <si>
    <r>
      <t>CMU Density = 120 lb/ft</t>
    </r>
    <r>
      <rPr>
        <vertAlign val="superscript"/>
        <sz val="11"/>
        <color theme="1"/>
        <rFont val="Cambria"/>
        <family val="1"/>
      </rPr>
      <t>3</t>
    </r>
  </si>
  <si>
    <r>
      <t>CMU Density = 135 lb/ft</t>
    </r>
    <r>
      <rPr>
        <vertAlign val="superscript"/>
        <sz val="11"/>
        <color theme="1"/>
        <rFont val="Cambria"/>
        <family val="1"/>
      </rPr>
      <t>3</t>
    </r>
  </si>
  <si>
    <r>
      <t>Wall Weight (lb/ft</t>
    </r>
    <r>
      <rPr>
        <vertAlign val="superscript"/>
        <sz val="11"/>
        <color theme="1"/>
        <rFont val="Cambria"/>
        <family val="1"/>
      </rPr>
      <t>2</t>
    </r>
    <r>
      <rPr>
        <sz val="11"/>
        <color theme="1"/>
        <rFont val="Cambria"/>
        <family val="1"/>
      </rPr>
      <t>) for Grout Spacing = 48 in.</t>
    </r>
  </si>
  <si>
    <r>
      <t xml:space="preserve">Mapped Short Period Spectral Response Parameter, </t>
    </r>
    <r>
      <rPr>
        <i/>
        <sz val="11"/>
        <color theme="1"/>
        <rFont val="Cambria"/>
        <family val="1"/>
      </rPr>
      <t>S</t>
    </r>
    <r>
      <rPr>
        <i/>
        <vertAlign val="subscript"/>
        <sz val="11"/>
        <color theme="1"/>
        <rFont val="Cambria"/>
        <family val="1"/>
      </rPr>
      <t>MS</t>
    </r>
    <r>
      <rPr>
        <sz val="11"/>
        <color theme="1"/>
        <rFont val="Cambria"/>
        <family val="1"/>
      </rPr>
      <t xml:space="preserve"> = </t>
    </r>
  </si>
  <si>
    <t>Wind Loading</t>
  </si>
  <si>
    <t>Seismic Loading</t>
  </si>
  <si>
    <t>Load Combinations - Strength Design</t>
  </si>
  <si>
    <r>
      <t>1.6</t>
    </r>
    <r>
      <rPr>
        <i/>
        <sz val="11"/>
        <color theme="1"/>
        <rFont val="Cambria"/>
        <family val="1"/>
      </rPr>
      <t>L</t>
    </r>
    <r>
      <rPr>
        <sz val="11"/>
        <color theme="1"/>
        <rFont val="Cambria"/>
        <family val="1"/>
      </rPr>
      <t xml:space="preserve"> (lb/ft</t>
    </r>
    <r>
      <rPr>
        <vertAlign val="superscript"/>
        <sz val="11"/>
        <color theme="1"/>
        <rFont val="Cambria"/>
        <family val="1"/>
      </rPr>
      <t>2</t>
    </r>
    <r>
      <rPr>
        <sz val="11"/>
        <color theme="1"/>
        <rFont val="Cambria"/>
        <family val="1"/>
      </rPr>
      <t xml:space="preserve">) = </t>
    </r>
  </si>
  <si>
    <r>
      <t>1.0</t>
    </r>
    <r>
      <rPr>
        <i/>
        <sz val="11"/>
        <color theme="1"/>
        <rFont val="Cambria"/>
        <family val="1"/>
      </rPr>
      <t>E</t>
    </r>
    <r>
      <rPr>
        <i/>
        <vertAlign val="subscript"/>
        <sz val="11"/>
        <color theme="1"/>
        <rFont val="Cambria"/>
        <family val="1"/>
      </rPr>
      <t>h</t>
    </r>
    <r>
      <rPr>
        <sz val="11"/>
        <color theme="1"/>
        <rFont val="Cambria"/>
        <family val="1"/>
      </rPr>
      <t xml:space="preserve"> + 1.0</t>
    </r>
    <r>
      <rPr>
        <i/>
        <sz val="11"/>
        <color theme="1"/>
        <rFont val="Cambria"/>
        <family val="1"/>
      </rPr>
      <t>L</t>
    </r>
    <r>
      <rPr>
        <sz val="11"/>
        <color theme="1"/>
        <rFont val="Cambria"/>
        <family val="1"/>
      </rPr>
      <t xml:space="preserve"> (lb/ft</t>
    </r>
    <r>
      <rPr>
        <vertAlign val="superscript"/>
        <sz val="11"/>
        <color theme="1"/>
        <rFont val="Cambria"/>
        <family val="1"/>
      </rPr>
      <t>2</t>
    </r>
    <r>
      <rPr>
        <sz val="11"/>
        <color theme="1"/>
        <rFont val="Cambria"/>
        <family val="1"/>
      </rPr>
      <t xml:space="preserve">) = </t>
    </r>
  </si>
  <si>
    <r>
      <t>1.0</t>
    </r>
    <r>
      <rPr>
        <i/>
        <sz val="11"/>
        <color theme="1"/>
        <rFont val="Cambria"/>
        <family val="1"/>
      </rPr>
      <t>W</t>
    </r>
    <r>
      <rPr>
        <sz val="11"/>
        <color theme="1"/>
        <rFont val="Cambria"/>
        <family val="1"/>
      </rPr>
      <t xml:space="preserve"> + 1.0</t>
    </r>
    <r>
      <rPr>
        <i/>
        <sz val="11"/>
        <color theme="1"/>
        <rFont val="Cambria"/>
        <family val="1"/>
      </rPr>
      <t>L</t>
    </r>
    <r>
      <rPr>
        <sz val="11"/>
        <color theme="1"/>
        <rFont val="Cambria"/>
        <family val="1"/>
      </rPr>
      <t xml:space="preserve"> (lb/ft</t>
    </r>
    <r>
      <rPr>
        <vertAlign val="superscript"/>
        <sz val="11"/>
        <color theme="1"/>
        <rFont val="Cambria"/>
        <family val="1"/>
      </rPr>
      <t>2</t>
    </r>
    <r>
      <rPr>
        <sz val="11"/>
        <color theme="1"/>
        <rFont val="Cambria"/>
        <family val="1"/>
      </rPr>
      <t xml:space="preserve">) = </t>
    </r>
  </si>
  <si>
    <r>
      <t>Maximum Wall Weight (lb/ft</t>
    </r>
    <r>
      <rPr>
        <vertAlign val="superscript"/>
        <sz val="11"/>
        <color theme="1"/>
        <rFont val="Cambria"/>
        <family val="1"/>
      </rPr>
      <t>2</t>
    </r>
    <r>
      <rPr>
        <sz val="11"/>
        <color theme="1"/>
        <rFont val="Cambria"/>
        <family val="1"/>
      </rPr>
      <t>)</t>
    </r>
  </si>
  <si>
    <r>
      <t>CMU Density = 95 lb/ft</t>
    </r>
    <r>
      <rPr>
        <vertAlign val="superscript"/>
        <sz val="11"/>
        <color theme="1"/>
        <rFont val="Cambria"/>
        <family val="1"/>
      </rPr>
      <t>3</t>
    </r>
  </si>
  <si>
    <r>
      <t>Wall Weight (lb/ft</t>
    </r>
    <r>
      <rPr>
        <vertAlign val="superscript"/>
        <sz val="11"/>
        <color theme="1"/>
        <rFont val="Cambria"/>
        <family val="1"/>
      </rPr>
      <t>2</t>
    </r>
    <r>
      <rPr>
        <sz val="11"/>
        <color theme="1"/>
        <rFont val="Cambria"/>
        <family val="1"/>
      </rPr>
      <t>) for Grout Spacing = 120 in.</t>
    </r>
  </si>
  <si>
    <r>
      <t>CMU Density = 125 lb/ft</t>
    </r>
    <r>
      <rPr>
        <vertAlign val="superscript"/>
        <sz val="11"/>
        <color theme="1"/>
        <rFont val="Cambria"/>
        <family val="1"/>
      </rPr>
      <t>3</t>
    </r>
  </si>
  <si>
    <r>
      <t>Minimum Wall Weight (lb/ft</t>
    </r>
    <r>
      <rPr>
        <vertAlign val="superscript"/>
        <sz val="11"/>
        <color theme="1"/>
        <rFont val="Cambria"/>
        <family val="1"/>
      </rPr>
      <t>2</t>
    </r>
    <r>
      <rPr>
        <sz val="11"/>
        <color theme="1"/>
        <rFont val="Cambria"/>
        <family val="1"/>
      </rPr>
      <t>)</t>
    </r>
  </si>
  <si>
    <r>
      <t xml:space="preserve">Maximum Wall Weight, </t>
    </r>
    <r>
      <rPr>
        <i/>
        <sz val="11"/>
        <color theme="1"/>
        <rFont val="Cambria"/>
        <family val="1"/>
      </rPr>
      <t>W</t>
    </r>
    <r>
      <rPr>
        <i/>
        <vertAlign val="subscript"/>
        <sz val="11"/>
        <color theme="1"/>
        <rFont val="Cambria"/>
        <family val="1"/>
      </rPr>
      <t>p</t>
    </r>
    <r>
      <rPr>
        <sz val="11"/>
        <color theme="1"/>
        <rFont val="Cambria"/>
        <family val="1"/>
      </rPr>
      <t xml:space="preserve"> (lb/ft</t>
    </r>
    <r>
      <rPr>
        <vertAlign val="superscript"/>
        <sz val="11"/>
        <color theme="1"/>
        <rFont val="Cambria"/>
        <family val="1"/>
      </rPr>
      <t>2</t>
    </r>
    <r>
      <rPr>
        <sz val="11"/>
        <color theme="1"/>
        <rFont val="Cambria"/>
        <family val="1"/>
      </rPr>
      <t xml:space="preserve">) = </t>
    </r>
  </si>
  <si>
    <r>
      <t>Minimum Wall Weight (lb/ft</t>
    </r>
    <r>
      <rPr>
        <vertAlign val="superscript"/>
        <sz val="11"/>
        <color theme="1"/>
        <rFont val="Cambria"/>
        <family val="1"/>
      </rPr>
      <t>2</t>
    </r>
    <r>
      <rPr>
        <sz val="11"/>
        <color theme="1"/>
        <rFont val="Cambria"/>
        <family val="1"/>
      </rPr>
      <t xml:space="preserve">) = </t>
    </r>
  </si>
  <si>
    <t xml:space="preserve">Minimum Wall Self-Weight at Mid-Height (lb/ft) = </t>
  </si>
  <si>
    <r>
      <t>1.2</t>
    </r>
    <r>
      <rPr>
        <i/>
        <sz val="11"/>
        <color theme="1"/>
        <rFont val="Cambria"/>
        <family val="1"/>
      </rPr>
      <t>D</t>
    </r>
    <r>
      <rPr>
        <sz val="11"/>
        <color theme="1"/>
        <rFont val="Cambria"/>
        <family val="1"/>
      </rPr>
      <t xml:space="preserve"> + 1.6</t>
    </r>
    <r>
      <rPr>
        <i/>
        <sz val="11"/>
        <color theme="1"/>
        <rFont val="Cambria"/>
        <family val="1"/>
      </rPr>
      <t>L</t>
    </r>
    <r>
      <rPr>
        <sz val="11"/>
        <color theme="1"/>
        <rFont val="Cambria"/>
        <family val="1"/>
      </rPr>
      <t xml:space="preserve"> (lb/ft) = </t>
    </r>
  </si>
  <si>
    <r>
      <t>1.4</t>
    </r>
    <r>
      <rPr>
        <i/>
        <sz val="11"/>
        <color theme="1"/>
        <rFont val="Cambria"/>
        <family val="1"/>
      </rPr>
      <t>D</t>
    </r>
    <r>
      <rPr>
        <sz val="11"/>
        <color theme="1"/>
        <rFont val="Cambria"/>
        <family val="1"/>
      </rPr>
      <t xml:space="preserve"> (lb/ft) = </t>
    </r>
  </si>
  <si>
    <r>
      <t>1.2</t>
    </r>
    <r>
      <rPr>
        <i/>
        <sz val="11"/>
        <color theme="1"/>
        <rFont val="Cambria"/>
        <family val="1"/>
      </rPr>
      <t>D</t>
    </r>
    <r>
      <rPr>
        <sz val="11"/>
        <color theme="1"/>
        <rFont val="Cambria"/>
        <family val="1"/>
      </rPr>
      <t xml:space="preserve"> + 1.0</t>
    </r>
    <r>
      <rPr>
        <i/>
        <sz val="11"/>
        <color theme="1"/>
        <rFont val="Cambria"/>
        <family val="1"/>
      </rPr>
      <t>L</t>
    </r>
    <r>
      <rPr>
        <sz val="11"/>
        <color theme="1"/>
        <rFont val="Cambria"/>
        <family val="1"/>
      </rPr>
      <t xml:space="preserve"> (lb/ft) = </t>
    </r>
  </si>
  <si>
    <r>
      <t>0.9</t>
    </r>
    <r>
      <rPr>
        <i/>
        <sz val="11"/>
        <color theme="1"/>
        <rFont val="Cambria"/>
        <family val="1"/>
      </rPr>
      <t>D</t>
    </r>
    <r>
      <rPr>
        <sz val="11"/>
        <color theme="1"/>
        <rFont val="Cambria"/>
        <family val="1"/>
      </rPr>
      <t xml:space="preserve"> (lb/ft) = </t>
    </r>
  </si>
  <si>
    <r>
      <t xml:space="preserve">Minimum Vertical Seismic Load at Wall Mid-Height, </t>
    </r>
    <r>
      <rPr>
        <i/>
        <sz val="11"/>
        <color theme="1"/>
        <rFont val="Cambria"/>
        <family val="1"/>
      </rPr>
      <t>E</t>
    </r>
    <r>
      <rPr>
        <i/>
        <vertAlign val="subscript"/>
        <sz val="11"/>
        <color theme="1"/>
        <rFont val="Cambria"/>
        <family val="1"/>
      </rPr>
      <t>v</t>
    </r>
    <r>
      <rPr>
        <sz val="11"/>
        <color theme="1"/>
        <rFont val="Cambria"/>
        <family val="1"/>
      </rPr>
      <t xml:space="preserve"> (lb/ft) = </t>
    </r>
  </si>
  <si>
    <r>
      <t>1.2</t>
    </r>
    <r>
      <rPr>
        <i/>
        <sz val="11"/>
        <color theme="1"/>
        <rFont val="Cambria"/>
        <family val="1"/>
      </rPr>
      <t>D</t>
    </r>
    <r>
      <rPr>
        <sz val="11"/>
        <color theme="1"/>
        <rFont val="Cambria"/>
        <family val="1"/>
      </rPr>
      <t xml:space="preserve"> + 1.0</t>
    </r>
    <r>
      <rPr>
        <i/>
        <sz val="11"/>
        <color theme="1"/>
        <rFont val="Cambria"/>
        <family val="1"/>
      </rPr>
      <t>E</t>
    </r>
    <r>
      <rPr>
        <i/>
        <vertAlign val="subscript"/>
        <sz val="11"/>
        <color theme="1"/>
        <rFont val="Cambria"/>
        <family val="1"/>
      </rPr>
      <t>v</t>
    </r>
    <r>
      <rPr>
        <sz val="11"/>
        <color theme="1"/>
        <rFont val="Cambria"/>
        <family val="1"/>
      </rPr>
      <t xml:space="preserve"> + 1.0</t>
    </r>
    <r>
      <rPr>
        <i/>
        <sz val="11"/>
        <color theme="1"/>
        <rFont val="Cambria"/>
        <family val="1"/>
      </rPr>
      <t>L</t>
    </r>
    <r>
      <rPr>
        <sz val="11"/>
        <color theme="1"/>
        <rFont val="Cambria"/>
        <family val="1"/>
      </rPr>
      <t xml:space="preserve"> (lb/ft) = </t>
    </r>
  </si>
  <si>
    <r>
      <t>0.9</t>
    </r>
    <r>
      <rPr>
        <i/>
        <sz val="11"/>
        <color theme="1"/>
        <rFont val="Cambria"/>
        <family val="1"/>
      </rPr>
      <t>D</t>
    </r>
    <r>
      <rPr>
        <sz val="11"/>
        <color theme="1"/>
        <rFont val="Cambria"/>
        <family val="1"/>
      </rPr>
      <t xml:space="preserve"> - 1.0</t>
    </r>
    <r>
      <rPr>
        <i/>
        <sz val="11"/>
        <color theme="1"/>
        <rFont val="Cambria"/>
        <family val="1"/>
      </rPr>
      <t>E</t>
    </r>
    <r>
      <rPr>
        <i/>
        <vertAlign val="subscript"/>
        <sz val="11"/>
        <color theme="1"/>
        <rFont val="Cambria"/>
        <family val="1"/>
      </rPr>
      <t>v</t>
    </r>
    <r>
      <rPr>
        <sz val="11"/>
        <color theme="1"/>
        <rFont val="Cambria"/>
        <family val="1"/>
      </rPr>
      <t xml:space="preserve"> (lb/ft) = </t>
    </r>
  </si>
  <si>
    <r>
      <t>Maximum Wall Weight (lb/ft</t>
    </r>
    <r>
      <rPr>
        <vertAlign val="superscript"/>
        <sz val="11"/>
        <color theme="1"/>
        <rFont val="Cambria"/>
        <family val="1"/>
      </rPr>
      <t>2</t>
    </r>
    <r>
      <rPr>
        <sz val="11"/>
        <color theme="1"/>
        <rFont val="Cambria"/>
        <family val="1"/>
      </rPr>
      <t xml:space="preserve">) = </t>
    </r>
  </si>
  <si>
    <t xml:space="preserve">Maximum Wall Self-Weight at Mid-Height (lb/ft) = </t>
  </si>
  <si>
    <r>
      <t xml:space="preserve">Maximum Vertical Seismic Load at Wall Mid-Height, </t>
    </r>
    <r>
      <rPr>
        <i/>
        <sz val="11"/>
        <color theme="1"/>
        <rFont val="Cambria"/>
        <family val="1"/>
      </rPr>
      <t>E</t>
    </r>
    <r>
      <rPr>
        <i/>
        <vertAlign val="subscript"/>
        <sz val="11"/>
        <color theme="1"/>
        <rFont val="Cambria"/>
        <family val="1"/>
      </rPr>
      <t>v</t>
    </r>
    <r>
      <rPr>
        <sz val="11"/>
        <color theme="1"/>
        <rFont val="Cambria"/>
        <family val="1"/>
      </rPr>
      <t xml:space="preserve"> (lb/ft) = </t>
    </r>
  </si>
  <si>
    <t xml:space="preserve">Controlling Minimum Factored Axial Load (lb/ft) = </t>
  </si>
  <si>
    <t xml:space="preserve">Controlling Maximum Factored Axial Load (lb/ft) = </t>
  </si>
  <si>
    <t>Load Combinations - Allowable Stress Design</t>
  </si>
  <si>
    <r>
      <t>1.0</t>
    </r>
    <r>
      <rPr>
        <i/>
        <sz val="11"/>
        <color theme="1"/>
        <rFont val="Cambria"/>
        <family val="1"/>
      </rPr>
      <t>L</t>
    </r>
    <r>
      <rPr>
        <sz val="11"/>
        <color theme="1"/>
        <rFont val="Cambria"/>
        <family val="1"/>
      </rPr>
      <t xml:space="preserve"> (lb/ft</t>
    </r>
    <r>
      <rPr>
        <vertAlign val="superscript"/>
        <sz val="11"/>
        <color theme="1"/>
        <rFont val="Cambria"/>
        <family val="1"/>
      </rPr>
      <t>2</t>
    </r>
    <r>
      <rPr>
        <sz val="11"/>
        <color theme="1"/>
        <rFont val="Cambria"/>
        <family val="1"/>
      </rPr>
      <t xml:space="preserve">) = </t>
    </r>
  </si>
  <si>
    <r>
      <t>0.6</t>
    </r>
    <r>
      <rPr>
        <i/>
        <sz val="11"/>
        <color theme="1"/>
        <rFont val="Cambria"/>
        <family val="1"/>
      </rPr>
      <t>W</t>
    </r>
    <r>
      <rPr>
        <sz val="11"/>
        <color theme="1"/>
        <rFont val="Cambria"/>
        <family val="1"/>
      </rPr>
      <t xml:space="preserve"> (lb/ft</t>
    </r>
    <r>
      <rPr>
        <vertAlign val="superscript"/>
        <sz val="11"/>
        <color theme="1"/>
        <rFont val="Cambria"/>
        <family val="1"/>
      </rPr>
      <t>2</t>
    </r>
    <r>
      <rPr>
        <sz val="11"/>
        <color theme="1"/>
        <rFont val="Cambria"/>
        <family val="1"/>
      </rPr>
      <t xml:space="preserve">) = </t>
    </r>
  </si>
  <si>
    <r>
      <t>0.75</t>
    </r>
    <r>
      <rPr>
        <i/>
        <sz val="11"/>
        <color theme="1"/>
        <rFont val="Cambria"/>
        <family val="1"/>
      </rPr>
      <t>L</t>
    </r>
    <r>
      <rPr>
        <sz val="11"/>
        <color theme="1"/>
        <rFont val="Cambria"/>
        <family val="1"/>
      </rPr>
      <t xml:space="preserve"> + 0.45</t>
    </r>
    <r>
      <rPr>
        <i/>
        <sz val="11"/>
        <color theme="1"/>
        <rFont val="Cambria"/>
        <family val="1"/>
      </rPr>
      <t>W</t>
    </r>
    <r>
      <rPr>
        <sz val="11"/>
        <color theme="1"/>
        <rFont val="Cambria"/>
        <family val="1"/>
      </rPr>
      <t xml:space="preserve"> (lb/ft</t>
    </r>
    <r>
      <rPr>
        <vertAlign val="superscript"/>
        <sz val="11"/>
        <color theme="1"/>
        <rFont val="Cambria"/>
        <family val="1"/>
      </rPr>
      <t>2</t>
    </r>
    <r>
      <rPr>
        <sz val="11"/>
        <color theme="1"/>
        <rFont val="Cambria"/>
        <family val="1"/>
      </rPr>
      <t xml:space="preserve">) = </t>
    </r>
  </si>
  <si>
    <r>
      <t>0.7</t>
    </r>
    <r>
      <rPr>
        <i/>
        <sz val="11"/>
        <color theme="1"/>
        <rFont val="Cambria"/>
        <family val="1"/>
      </rPr>
      <t>E</t>
    </r>
    <r>
      <rPr>
        <i/>
        <vertAlign val="subscript"/>
        <sz val="11"/>
        <color theme="1"/>
        <rFont val="Cambria"/>
        <family val="1"/>
      </rPr>
      <t>h</t>
    </r>
    <r>
      <rPr>
        <sz val="11"/>
        <color theme="1"/>
        <rFont val="Cambria"/>
        <family val="1"/>
      </rPr>
      <t xml:space="preserve"> (lb/ft</t>
    </r>
    <r>
      <rPr>
        <vertAlign val="superscript"/>
        <sz val="11"/>
        <color theme="1"/>
        <rFont val="Cambria"/>
        <family val="1"/>
      </rPr>
      <t>2</t>
    </r>
    <r>
      <rPr>
        <sz val="11"/>
        <color theme="1"/>
        <rFont val="Cambria"/>
        <family val="1"/>
      </rPr>
      <t xml:space="preserve">) = </t>
    </r>
  </si>
  <si>
    <r>
      <t>0.525</t>
    </r>
    <r>
      <rPr>
        <i/>
        <sz val="11"/>
        <color theme="1"/>
        <rFont val="Cambria"/>
        <family val="1"/>
      </rPr>
      <t>E</t>
    </r>
    <r>
      <rPr>
        <i/>
        <vertAlign val="subscript"/>
        <sz val="11"/>
        <color theme="1"/>
        <rFont val="Cambria"/>
        <family val="1"/>
      </rPr>
      <t>h</t>
    </r>
    <r>
      <rPr>
        <sz val="11"/>
        <color theme="1"/>
        <rFont val="Cambria"/>
        <family val="1"/>
      </rPr>
      <t xml:space="preserve"> + 0.75</t>
    </r>
    <r>
      <rPr>
        <i/>
        <sz val="11"/>
        <color theme="1"/>
        <rFont val="Cambria"/>
        <family val="1"/>
      </rPr>
      <t>L</t>
    </r>
    <r>
      <rPr>
        <sz val="11"/>
        <color theme="1"/>
        <rFont val="Cambria"/>
        <family val="1"/>
      </rPr>
      <t xml:space="preserve"> (lb/ft</t>
    </r>
    <r>
      <rPr>
        <vertAlign val="superscript"/>
        <sz val="11"/>
        <color theme="1"/>
        <rFont val="Cambria"/>
        <family val="1"/>
      </rPr>
      <t>2</t>
    </r>
    <r>
      <rPr>
        <sz val="11"/>
        <color theme="1"/>
        <rFont val="Cambria"/>
        <family val="1"/>
      </rPr>
      <t xml:space="preserve">) = </t>
    </r>
  </si>
  <si>
    <t>Out-of-Plane Factored Loads - ASD</t>
  </si>
  <si>
    <t>Axial Factored Loads - Minimum - ASD</t>
  </si>
  <si>
    <t>Out-of-Plane Factored Loads - SD</t>
  </si>
  <si>
    <t>Axial Factored Loads - Minimum - SD</t>
  </si>
  <si>
    <t>Axial Factored Loads - Maximum - SD</t>
  </si>
  <si>
    <r>
      <rPr>
        <i/>
        <sz val="11"/>
        <color theme="1"/>
        <rFont val="Cambria"/>
        <family val="1"/>
      </rPr>
      <t>D</t>
    </r>
    <r>
      <rPr>
        <sz val="11"/>
        <color theme="1"/>
        <rFont val="Cambria"/>
        <family val="1"/>
      </rPr>
      <t xml:space="preserve"> (lb/ft) = </t>
    </r>
  </si>
  <si>
    <r>
      <rPr>
        <i/>
        <sz val="11"/>
        <color theme="1"/>
        <rFont val="Cambria"/>
        <family val="1"/>
      </rPr>
      <t>D</t>
    </r>
    <r>
      <rPr>
        <sz val="11"/>
        <color theme="1"/>
        <rFont val="Cambria"/>
        <family val="1"/>
      </rPr>
      <t xml:space="preserve"> + </t>
    </r>
    <r>
      <rPr>
        <i/>
        <sz val="11"/>
        <color theme="1"/>
        <rFont val="Cambria"/>
        <family val="1"/>
      </rPr>
      <t>L</t>
    </r>
    <r>
      <rPr>
        <sz val="11"/>
        <color theme="1"/>
        <rFont val="Cambria"/>
        <family val="1"/>
      </rPr>
      <t xml:space="preserve"> (lb/ft) = </t>
    </r>
  </si>
  <si>
    <r>
      <rPr>
        <i/>
        <sz val="11"/>
        <color theme="1"/>
        <rFont val="Cambria"/>
        <family val="1"/>
      </rPr>
      <t>D</t>
    </r>
    <r>
      <rPr>
        <sz val="11"/>
        <color theme="1"/>
        <rFont val="Cambria"/>
        <family val="1"/>
      </rPr>
      <t xml:space="preserve"> + 0.75</t>
    </r>
    <r>
      <rPr>
        <i/>
        <sz val="11"/>
        <color theme="1"/>
        <rFont val="Cambria"/>
        <family val="1"/>
      </rPr>
      <t>L</t>
    </r>
    <r>
      <rPr>
        <sz val="11"/>
        <color theme="1"/>
        <rFont val="Cambria"/>
        <family val="1"/>
      </rPr>
      <t xml:space="preserve"> (lb/ft) = </t>
    </r>
  </si>
  <si>
    <r>
      <t>0.6</t>
    </r>
    <r>
      <rPr>
        <i/>
        <sz val="11"/>
        <color theme="1"/>
        <rFont val="Cambria"/>
        <family val="1"/>
      </rPr>
      <t>D</t>
    </r>
    <r>
      <rPr>
        <sz val="11"/>
        <color theme="1"/>
        <rFont val="Cambria"/>
        <family val="1"/>
      </rPr>
      <t xml:space="preserve"> (lb/ft) = </t>
    </r>
  </si>
  <si>
    <r>
      <t xml:space="preserve">Modulus of Rupture - Horizontal Span, </t>
    </r>
    <r>
      <rPr>
        <i/>
        <sz val="11"/>
        <color theme="1"/>
        <rFont val="Cambria"/>
        <family val="1"/>
      </rPr>
      <t>f</t>
    </r>
    <r>
      <rPr>
        <i/>
        <vertAlign val="subscript"/>
        <sz val="11"/>
        <color theme="1"/>
        <rFont val="Cambria"/>
        <family val="1"/>
      </rPr>
      <t>rH</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</si>
  <si>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Effective Depth of Joint Reinforcement, </t>
    </r>
    <r>
      <rPr>
        <i/>
        <sz val="11"/>
        <color theme="1"/>
        <rFont val="Cambria"/>
        <family val="1"/>
      </rPr>
      <t>d</t>
    </r>
    <r>
      <rPr>
        <i/>
        <vertAlign val="subscript"/>
        <sz val="11"/>
        <color theme="1"/>
        <rFont val="Cambria"/>
        <family val="1"/>
      </rPr>
      <t>JR</t>
    </r>
    <r>
      <rPr>
        <sz val="11"/>
        <color theme="1"/>
        <rFont val="Cambria"/>
        <family val="1"/>
      </rPr>
      <t xml:space="preserve"> (in.) = </t>
    </r>
  </si>
  <si>
    <r>
      <t xml:space="preserve">Maximum Permitted Deflection, </t>
    </r>
    <r>
      <rPr>
        <i/>
        <sz val="11"/>
        <color theme="1"/>
        <rFont val="Cambria"/>
        <family val="1"/>
      </rPr>
      <t>δ</t>
    </r>
    <r>
      <rPr>
        <i/>
        <vertAlign val="subscript"/>
        <sz val="11"/>
        <color theme="1"/>
        <rFont val="Cambria"/>
        <family val="1"/>
      </rPr>
      <t>maxTMS</t>
    </r>
    <r>
      <rPr>
        <sz val="11"/>
        <color theme="1"/>
        <rFont val="Cambria"/>
        <family val="1"/>
      </rPr>
      <t xml:space="preserve"> (in.) = </t>
    </r>
  </si>
  <si>
    <r>
      <t xml:space="preserve">Calculated Deflection, </t>
    </r>
    <r>
      <rPr>
        <i/>
        <sz val="11"/>
        <color theme="1"/>
        <rFont val="Cambria"/>
        <family val="1"/>
      </rPr>
      <t>δ</t>
    </r>
    <r>
      <rPr>
        <i/>
        <vertAlign val="subscript"/>
        <sz val="11"/>
        <color theme="1"/>
        <rFont val="Cambria"/>
        <family val="1"/>
      </rPr>
      <t>sTMS</t>
    </r>
    <r>
      <rPr>
        <sz val="11"/>
        <color theme="1"/>
        <rFont val="Cambria"/>
        <family val="1"/>
      </rPr>
      <t xml:space="preserve"> (in.) = </t>
    </r>
  </si>
  <si>
    <r>
      <t xml:space="preserve">Calculated Deflection, </t>
    </r>
    <r>
      <rPr>
        <i/>
        <sz val="11"/>
        <color theme="1"/>
        <rFont val="Cambria"/>
        <family val="1"/>
      </rPr>
      <t>δ</t>
    </r>
    <r>
      <rPr>
        <i/>
        <vertAlign val="subscript"/>
        <sz val="11"/>
        <color theme="1"/>
        <rFont val="Cambria"/>
        <family val="1"/>
      </rPr>
      <t>sIBC</t>
    </r>
    <r>
      <rPr>
        <sz val="11"/>
        <color theme="1"/>
        <rFont val="Cambria"/>
        <family val="1"/>
      </rPr>
      <t xml:space="preserve"> (in.) = </t>
    </r>
  </si>
  <si>
    <r>
      <t xml:space="preserve">Maximum Permitted Deflection, </t>
    </r>
    <r>
      <rPr>
        <i/>
        <sz val="11"/>
        <color theme="1"/>
        <rFont val="Cambria"/>
        <family val="1"/>
      </rPr>
      <t>δ</t>
    </r>
    <r>
      <rPr>
        <i/>
        <vertAlign val="subscript"/>
        <sz val="11"/>
        <color theme="1"/>
        <rFont val="Cambria"/>
        <family val="1"/>
      </rPr>
      <t>maxIBC</t>
    </r>
    <r>
      <rPr>
        <sz val="11"/>
        <color theme="1"/>
        <rFont val="Cambria"/>
        <family val="1"/>
      </rPr>
      <t xml:space="preserve"> (in.) = </t>
    </r>
  </si>
  <si>
    <r>
      <t xml:space="preserve">Vertical Wall Height, </t>
    </r>
    <r>
      <rPr>
        <i/>
        <sz val="11"/>
        <color theme="1"/>
        <rFont val="Cambria"/>
        <family val="1"/>
      </rPr>
      <t>H</t>
    </r>
    <r>
      <rPr>
        <sz val="11"/>
        <color theme="1"/>
        <rFont val="Cambria"/>
        <family val="1"/>
      </rPr>
      <t xml:space="preserve"> (in.) = </t>
    </r>
  </si>
  <si>
    <r>
      <rPr>
        <i/>
        <sz val="11"/>
        <color theme="1"/>
        <rFont val="Cambria"/>
        <family val="1"/>
      </rPr>
      <t>M</t>
    </r>
    <r>
      <rPr>
        <i/>
        <vertAlign val="subscript"/>
        <sz val="11"/>
        <color theme="1"/>
        <rFont val="Cambria"/>
        <family val="1"/>
      </rPr>
      <t>u</t>
    </r>
    <r>
      <rPr>
        <sz val="11"/>
        <color theme="1"/>
        <rFont val="Cambria"/>
        <family val="1"/>
      </rPr>
      <t>/</t>
    </r>
    <r>
      <rPr>
        <i/>
        <sz val="11"/>
        <color theme="1"/>
        <rFont val="Cambria"/>
        <family val="1"/>
      </rPr>
      <t>ϕ</t>
    </r>
    <r>
      <rPr>
        <sz val="11"/>
        <color theme="1"/>
        <rFont val="Cambria"/>
        <family val="1"/>
      </rPr>
      <t xml:space="preserve"> (ft-lb/ft) = </t>
    </r>
  </si>
  <si>
    <r>
      <rPr>
        <i/>
        <sz val="11"/>
        <color theme="1"/>
        <rFont val="Cambria"/>
        <family val="1"/>
      </rPr>
      <t>M</t>
    </r>
    <r>
      <rPr>
        <i/>
        <vertAlign val="subscript"/>
        <sz val="11"/>
        <color theme="1"/>
        <rFont val="Cambria"/>
        <family val="1"/>
      </rPr>
      <t>u</t>
    </r>
    <r>
      <rPr>
        <sz val="11"/>
        <color theme="1"/>
        <rFont val="Cambria"/>
        <family val="1"/>
      </rPr>
      <t>/</t>
    </r>
    <r>
      <rPr>
        <i/>
        <sz val="11"/>
        <color theme="1"/>
        <rFont val="Cambria"/>
        <family val="1"/>
      </rPr>
      <t>ϕ</t>
    </r>
    <r>
      <rPr>
        <sz val="11"/>
        <color theme="1"/>
        <rFont val="Cambria"/>
        <family val="1"/>
      </rPr>
      <t xml:space="preserve"> (in.-lb/ft) = </t>
    </r>
  </si>
  <si>
    <r>
      <t>Controlling ASD Out-of-Plane Load (lb/ft</t>
    </r>
    <r>
      <rPr>
        <vertAlign val="superscript"/>
        <sz val="11"/>
        <color theme="1"/>
        <rFont val="Cambria"/>
        <family val="1"/>
      </rPr>
      <t>2</t>
    </r>
    <r>
      <rPr>
        <sz val="11"/>
        <color theme="1"/>
        <rFont val="Cambria"/>
        <family val="1"/>
      </rPr>
      <t xml:space="preserve">) = </t>
    </r>
  </si>
  <si>
    <t xml:space="preserve">Controlling Minimum ASD Axial Load (lb/ft) = </t>
  </si>
  <si>
    <t xml:space="preserve">Controlling Horizontal Design Span (in.) = </t>
  </si>
  <si>
    <r>
      <t xml:space="preserve">Modulus of Rupture - Vertical Span, </t>
    </r>
    <r>
      <rPr>
        <i/>
        <sz val="11"/>
        <color theme="1"/>
        <rFont val="Cambria"/>
        <family val="1"/>
      </rPr>
      <t>f</t>
    </r>
    <r>
      <rPr>
        <i/>
        <vertAlign val="subscript"/>
        <sz val="11"/>
        <color theme="1"/>
        <rFont val="Cambria"/>
        <family val="1"/>
      </rPr>
      <t>rV</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</si>
  <si>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Area of Joint Reinforcement, </t>
    </r>
    <r>
      <rPr>
        <i/>
        <sz val="11"/>
        <color theme="1"/>
        <rFont val="Cambria"/>
        <family val="1"/>
      </rPr>
      <t>A</t>
    </r>
    <r>
      <rPr>
        <i/>
        <vertAlign val="subscript"/>
        <sz val="11"/>
        <color theme="1"/>
        <rFont val="Cambria"/>
        <family val="1"/>
      </rPr>
      <t>sJR</t>
    </r>
    <r>
      <rPr>
        <sz val="11"/>
        <color theme="1"/>
        <rFont val="Cambria"/>
        <family val="1"/>
      </rPr>
      <t xml:space="preserve"> (in.</t>
    </r>
    <r>
      <rPr>
        <vertAlign val="superscript"/>
        <sz val="11"/>
        <color theme="1"/>
        <rFont val="Cambria"/>
        <family val="1"/>
      </rPr>
      <t>2</t>
    </r>
    <r>
      <rPr>
        <sz val="11"/>
        <color theme="1"/>
        <rFont val="Cambria"/>
        <family val="1"/>
      </rPr>
      <t xml:space="preserve">) = </t>
    </r>
  </si>
  <si>
    <r>
      <t xml:space="preserve">Area of Vertical Reinforcement, </t>
    </r>
    <r>
      <rPr>
        <i/>
        <sz val="11"/>
        <color theme="1"/>
        <rFont val="Cambria"/>
        <family val="1"/>
      </rPr>
      <t>A</t>
    </r>
    <r>
      <rPr>
        <i/>
        <vertAlign val="subscript"/>
        <sz val="11"/>
        <color theme="1"/>
        <rFont val="Cambria"/>
        <family val="1"/>
      </rPr>
      <t>sV</t>
    </r>
    <r>
      <rPr>
        <sz val="11"/>
        <color theme="1"/>
        <rFont val="Cambria"/>
        <family val="1"/>
      </rPr>
      <t xml:space="preserve"> (in.</t>
    </r>
    <r>
      <rPr>
        <vertAlign val="superscript"/>
        <sz val="11"/>
        <color theme="1"/>
        <rFont val="Cambria"/>
        <family val="1"/>
      </rPr>
      <t>2</t>
    </r>
    <r>
      <rPr>
        <sz val="11"/>
        <color theme="1"/>
        <rFont val="Cambria"/>
        <family val="1"/>
      </rPr>
      <t xml:space="preserve">) = </t>
    </r>
  </si>
  <si>
    <t xml:space="preserve">Quadratic Coefficient, a = </t>
  </si>
  <si>
    <t xml:space="preserve">Quadratic Coefficient, b = </t>
  </si>
  <si>
    <t xml:space="preserve">Quadratic Coefficient, c = </t>
  </si>
  <si>
    <t>Design Checks</t>
  </si>
  <si>
    <t xml:space="preserve">Maximum Reinforcement Spacing - Vertically Controlled, (in.) = </t>
  </si>
  <si>
    <t xml:space="preserve">Maximum Reinforcement Spacing - Horizontally Controlled, (in.) = </t>
  </si>
  <si>
    <t xml:space="preserve">Maximum Reinforcement Spacing - Governing, (in.) = </t>
  </si>
  <si>
    <r>
      <t xml:space="preserve">Revised Normalized Effective Compression Width, </t>
    </r>
    <r>
      <rPr>
        <i/>
        <sz val="11"/>
        <color theme="1"/>
        <rFont val="Cambria"/>
        <family val="1"/>
      </rPr>
      <t>b</t>
    </r>
    <r>
      <rPr>
        <sz val="11"/>
        <color theme="1"/>
        <rFont val="Cambria"/>
        <family val="1"/>
      </rPr>
      <t xml:space="preserve"> (in.) = </t>
    </r>
  </si>
  <si>
    <r>
      <t>Area of Vertical Reinforcement Provided (in.</t>
    </r>
    <r>
      <rPr>
        <vertAlign val="superscript"/>
        <sz val="11"/>
        <color theme="1"/>
        <rFont val="Cambria"/>
        <family val="1"/>
      </rPr>
      <t>2</t>
    </r>
    <r>
      <rPr>
        <sz val="11"/>
        <color theme="1"/>
        <rFont val="Cambria"/>
        <family val="1"/>
      </rPr>
      <t>/ft)</t>
    </r>
  </si>
  <si>
    <r>
      <t xml:space="preserve">Ratio of </t>
    </r>
    <r>
      <rPr>
        <i/>
        <sz val="11"/>
        <color theme="1"/>
        <rFont val="Cambria"/>
        <family val="1"/>
      </rPr>
      <t>c</t>
    </r>
    <r>
      <rPr>
        <sz val="11"/>
        <color theme="1"/>
        <rFont val="Cambria"/>
        <family val="1"/>
      </rPr>
      <t>/</t>
    </r>
    <r>
      <rPr>
        <i/>
        <sz val="11"/>
        <color theme="1"/>
        <rFont val="Cambria"/>
        <family val="1"/>
      </rPr>
      <t>d</t>
    </r>
    <r>
      <rPr>
        <i/>
        <vertAlign val="subscript"/>
        <sz val="11"/>
        <color theme="1"/>
        <rFont val="Cambria"/>
        <family val="1"/>
      </rPr>
      <t>VR</t>
    </r>
    <r>
      <rPr>
        <sz val="11"/>
        <color theme="1"/>
        <rFont val="Cambria"/>
        <family val="1"/>
      </rPr>
      <t xml:space="preserve"> = </t>
    </r>
  </si>
  <si>
    <t>Wall Assembly Parameters</t>
  </si>
  <si>
    <t>Out-of-Plane Flexure Checks</t>
  </si>
  <si>
    <t>Out-of-Plane Shear Checks</t>
  </si>
  <si>
    <r>
      <t xml:space="preserve">Design Shear Strength, </t>
    </r>
    <r>
      <rPr>
        <i/>
        <sz val="11"/>
        <color theme="1"/>
        <rFont val="Cambria"/>
        <family val="1"/>
      </rPr>
      <t>ϕV</t>
    </r>
    <r>
      <rPr>
        <i/>
        <vertAlign val="subscript"/>
        <sz val="11"/>
        <color theme="1"/>
        <rFont val="Cambria"/>
        <family val="1"/>
      </rPr>
      <t>nm</t>
    </r>
    <r>
      <rPr>
        <sz val="11"/>
        <color theme="1"/>
        <rFont val="Cambria"/>
        <family val="1"/>
      </rPr>
      <t xml:space="preserve"> (lb) = </t>
    </r>
  </si>
  <si>
    <r>
      <t xml:space="preserve">Factored Shear Load, </t>
    </r>
    <r>
      <rPr>
        <i/>
        <sz val="11"/>
        <color theme="1"/>
        <rFont val="Cambria"/>
        <family val="1"/>
      </rPr>
      <t>V</t>
    </r>
    <r>
      <rPr>
        <i/>
        <vertAlign val="subscript"/>
        <sz val="11"/>
        <color theme="1"/>
        <rFont val="Cambria"/>
        <family val="1"/>
      </rPr>
      <t>u</t>
    </r>
    <r>
      <rPr>
        <sz val="11"/>
        <color theme="1"/>
        <rFont val="Cambria"/>
        <family val="1"/>
      </rPr>
      <t xml:space="preserve"> (lb) = </t>
    </r>
  </si>
  <si>
    <r>
      <t xml:space="preserve">Axial Buckling Load, </t>
    </r>
    <r>
      <rPr>
        <i/>
        <sz val="11"/>
        <color theme="1"/>
        <rFont val="Cambria"/>
        <family val="1"/>
      </rPr>
      <t>P</t>
    </r>
    <r>
      <rPr>
        <i/>
        <vertAlign val="subscript"/>
        <sz val="11"/>
        <color theme="1"/>
        <rFont val="Cambria"/>
        <family val="1"/>
      </rPr>
      <t>e</t>
    </r>
    <r>
      <rPr>
        <sz val="11"/>
        <color theme="1"/>
        <rFont val="Cambria"/>
        <family val="1"/>
      </rPr>
      <t xml:space="preserve"> (lb/ft) = </t>
    </r>
  </si>
  <si>
    <t>Out-of-Plane Deflection Checks</t>
  </si>
  <si>
    <t xml:space="preserve">Moment Magnifier = </t>
  </si>
  <si>
    <r>
      <t xml:space="preserve">Net Cross-Sectional Area, </t>
    </r>
    <r>
      <rPr>
        <i/>
        <sz val="11"/>
        <color theme="1"/>
        <rFont val="Cambria"/>
        <family val="1"/>
      </rPr>
      <t>A</t>
    </r>
    <r>
      <rPr>
        <i/>
        <vertAlign val="subscript"/>
        <sz val="11"/>
        <color theme="1"/>
        <rFont val="Cambria"/>
        <family val="1"/>
      </rPr>
      <t>n</t>
    </r>
    <r>
      <rPr>
        <sz val="11"/>
        <color theme="1"/>
        <rFont val="Cambria"/>
        <family val="1"/>
      </rPr>
      <t xml:space="preserve"> (in./ft) = </t>
    </r>
  </si>
  <si>
    <r>
      <t xml:space="preserve">Net Moment of Inertia, </t>
    </r>
    <r>
      <rPr>
        <i/>
        <sz val="11"/>
        <color theme="1"/>
        <rFont val="Cambria"/>
        <family val="1"/>
      </rPr>
      <t>I</t>
    </r>
    <r>
      <rPr>
        <i/>
        <vertAlign val="subscript"/>
        <sz val="11"/>
        <color theme="1"/>
        <rFont val="Cambria"/>
        <family val="1"/>
      </rPr>
      <t>n</t>
    </r>
    <r>
      <rPr>
        <sz val="11"/>
        <color theme="1"/>
        <rFont val="Cambria"/>
        <family val="1"/>
      </rPr>
      <t xml:space="preserve"> (in./ft) = </t>
    </r>
  </si>
  <si>
    <r>
      <t xml:space="preserve">Cracked Moment of Inertia, </t>
    </r>
    <r>
      <rPr>
        <i/>
        <sz val="11"/>
        <color theme="1"/>
        <rFont val="Cambria"/>
        <family val="1"/>
      </rPr>
      <t>I</t>
    </r>
    <r>
      <rPr>
        <i/>
        <vertAlign val="subscript"/>
        <sz val="11"/>
        <color theme="1"/>
        <rFont val="Cambria"/>
        <family val="1"/>
      </rPr>
      <t>cr</t>
    </r>
    <r>
      <rPr>
        <sz val="11"/>
        <color theme="1"/>
        <rFont val="Cambria"/>
        <family val="1"/>
      </rPr>
      <t xml:space="preserve"> (in.</t>
    </r>
    <r>
      <rPr>
        <vertAlign val="superscript"/>
        <sz val="11"/>
        <color theme="1"/>
        <rFont val="Cambria"/>
        <family val="1"/>
      </rPr>
      <t>4</t>
    </r>
    <r>
      <rPr>
        <sz val="11"/>
        <color theme="1"/>
        <rFont val="Cambria"/>
        <family val="1"/>
      </rPr>
      <t>/ft)</t>
    </r>
  </si>
  <si>
    <r>
      <t xml:space="preserve">Magnified Moment, </t>
    </r>
    <r>
      <rPr>
        <i/>
        <sz val="11"/>
        <color theme="1"/>
        <rFont val="Cambria"/>
        <family val="1"/>
      </rPr>
      <t>M</t>
    </r>
    <r>
      <rPr>
        <i/>
        <vertAlign val="subscript"/>
        <sz val="11"/>
        <color theme="1"/>
        <rFont val="Cambria"/>
        <family val="1"/>
      </rPr>
      <t>u</t>
    </r>
    <r>
      <rPr>
        <sz val="11"/>
        <color theme="1"/>
        <rFont val="Cambria"/>
        <family val="1"/>
      </rPr>
      <t>/</t>
    </r>
    <r>
      <rPr>
        <i/>
        <sz val="11"/>
        <color theme="1"/>
        <rFont val="Cambria"/>
        <family val="1"/>
      </rPr>
      <t>ϕ</t>
    </r>
    <r>
      <rPr>
        <sz val="11"/>
        <color theme="1"/>
        <rFont val="Cambria"/>
        <family val="1"/>
      </rPr>
      <t xml:space="preserve"> (in.-lb/ft) = </t>
    </r>
  </si>
  <si>
    <r>
      <t xml:space="preserve">As-Designed Nominal Moment Strength, </t>
    </r>
    <r>
      <rPr>
        <i/>
        <sz val="11"/>
        <color theme="1"/>
        <rFont val="Cambria"/>
        <family val="1"/>
      </rPr>
      <t>M</t>
    </r>
    <r>
      <rPr>
        <i/>
        <vertAlign val="subscript"/>
        <sz val="11"/>
        <color theme="1"/>
        <rFont val="Cambria"/>
        <family val="1"/>
      </rPr>
      <t>n</t>
    </r>
    <r>
      <rPr>
        <sz val="11"/>
        <color theme="1"/>
        <rFont val="Cambria"/>
        <family val="1"/>
      </rPr>
      <t xml:space="preserve"> (in.-lb/ft) = </t>
    </r>
  </si>
  <si>
    <r>
      <t xml:space="preserve">Area of Vertical Reinforcement Required, </t>
    </r>
    <r>
      <rPr>
        <i/>
        <sz val="11"/>
        <color theme="1"/>
        <rFont val="Cambria"/>
        <family val="1"/>
      </rPr>
      <t>A</t>
    </r>
    <r>
      <rPr>
        <i/>
        <vertAlign val="subscript"/>
        <sz val="11"/>
        <color theme="1"/>
        <rFont val="Cambria"/>
        <family val="1"/>
      </rPr>
      <t>sreq</t>
    </r>
    <r>
      <rPr>
        <sz val="11"/>
        <color theme="1"/>
        <rFont val="Cambria"/>
        <family val="1"/>
      </rPr>
      <t xml:space="preserve"> (in.</t>
    </r>
    <r>
      <rPr>
        <vertAlign val="superscript"/>
        <sz val="11"/>
        <color theme="1"/>
        <rFont val="Cambria"/>
        <family val="1"/>
      </rPr>
      <t>2</t>
    </r>
    <r>
      <rPr>
        <sz val="11"/>
        <color theme="1"/>
        <rFont val="Cambria"/>
        <family val="1"/>
      </rPr>
      <t xml:space="preserve">/ft) = </t>
    </r>
  </si>
  <si>
    <r>
      <t xml:space="preserve">Where: </t>
    </r>
    <r>
      <rPr>
        <i/>
        <sz val="11"/>
        <color theme="1"/>
        <rFont val="Cambria"/>
        <family val="1"/>
      </rPr>
      <t>Q</t>
    </r>
    <r>
      <rPr>
        <sz val="11"/>
        <color theme="1"/>
        <rFont val="Cambria"/>
        <family val="1"/>
      </rPr>
      <t xml:space="preserve"> = 1.6(</t>
    </r>
    <r>
      <rPr>
        <i/>
        <sz val="11"/>
        <color theme="1"/>
        <rFont val="Cambria"/>
        <family val="1"/>
      </rPr>
      <t>f'</t>
    </r>
    <r>
      <rPr>
        <i/>
        <vertAlign val="subscript"/>
        <sz val="11"/>
        <color theme="1"/>
        <rFont val="Cambria"/>
        <family val="1"/>
      </rPr>
      <t>m</t>
    </r>
    <r>
      <rPr>
        <sz val="11"/>
        <color theme="1"/>
        <rFont val="Cambria"/>
        <family val="1"/>
      </rPr>
      <t>)(</t>
    </r>
    <r>
      <rPr>
        <i/>
        <sz val="11"/>
        <color theme="1"/>
        <rFont val="Cambria"/>
        <family val="1"/>
      </rPr>
      <t>b</t>
    </r>
    <r>
      <rPr>
        <sz val="11"/>
        <color theme="1"/>
        <rFont val="Cambria"/>
        <family val="1"/>
      </rPr>
      <t>)</t>
    </r>
  </si>
  <si>
    <t>Ungrouted Net Moment of Inertia</t>
  </si>
  <si>
    <t>Net Cross-Sectional Area - Grout Spacing = 120 in.</t>
  </si>
  <si>
    <t>Net Moment of Inertia - Grout Spacing = 120 in.</t>
  </si>
  <si>
    <t>Design Checks Summary</t>
  </si>
  <si>
    <t xml:space="preserve">Maximum Horizontal Design Span (in.) = </t>
  </si>
  <si>
    <t xml:space="preserve">Horizontal Span Deflection Utilization Ratio - TMS = </t>
  </si>
  <si>
    <t xml:space="preserve">Horizontal Span Deflection Utilization Ratio - IBC = </t>
  </si>
  <si>
    <t xml:space="preserve">Maximum Spacing of Vertical Reinforcement (in.) = </t>
  </si>
  <si>
    <t xml:space="preserve">Vertical Span Tension-Controlled Check = </t>
  </si>
  <si>
    <t xml:space="preserve">Vertical Span Flexure-Axial Loading Design Utilization = </t>
  </si>
  <si>
    <t xml:space="preserve">Out-of-Plane Shear Utilization = </t>
  </si>
  <si>
    <t xml:space="preserve">Vertical Span Deflection Utilization Ratio - TMS = </t>
  </si>
  <si>
    <t xml:space="preserve">Vertical Span Deflection Utilization Ratio - IBC = </t>
  </si>
  <si>
    <t xml:space="preserve">Verify Assembly Weight Initial Assumption = </t>
  </si>
  <si>
    <t>Running Bond</t>
  </si>
  <si>
    <t xml:space="preserve">Bond Pattern = </t>
  </si>
  <si>
    <t xml:space="preserve">DISCLAIMER: The Block Design Collective (“BDC”) does not make any representations or warranties with respect to the accuracy or suitability of this information, and persons making use of this information do so at their own risk. BDC disclaims liability for damages of any kind, including any special, indirect, or consequential damages, which may result from use of this information. This information is not to be interpreted as indicating compliance with, or waiver of, any applicable building code, ordinance, standard or law.  </t>
  </si>
  <si>
    <t>Concrete Masonry Partition - Wall Design Loading</t>
  </si>
  <si>
    <t>Concrete Masonry Partition - Design Results</t>
  </si>
  <si>
    <t>Tension-Controlled Design Check:</t>
  </si>
  <si>
    <t>Axial Load (Uniform Only)</t>
  </si>
  <si>
    <t>Live Load (Uniform Only)</t>
  </si>
  <si>
    <t>Wind Load (Uniform Only)</t>
  </si>
  <si>
    <t>Seismic Load (Uniform Only)</t>
  </si>
  <si>
    <t xml:space="preserve">Out-of-Plane Anchorage Support Factored Design Loading (lb/ft) = </t>
  </si>
  <si>
    <t xml:space="preserve">Flexure, Axial, Shear, and Deflection Checks = </t>
  </si>
  <si>
    <t xml:space="preserve">Revised Spacing of Vertical Reinforcement (in.) = </t>
  </si>
  <si>
    <r>
      <t>Wall Weight (lb/ft</t>
    </r>
    <r>
      <rPr>
        <vertAlign val="superscript"/>
        <sz val="11"/>
        <color theme="1"/>
        <rFont val="Cambria"/>
        <family val="1"/>
      </rPr>
      <t>2</t>
    </r>
    <r>
      <rPr>
        <sz val="11"/>
        <color theme="1"/>
        <rFont val="Cambria"/>
        <family val="1"/>
      </rPr>
      <t>) for Grout Spacing = 24 in.</t>
    </r>
  </si>
  <si>
    <t>Revised Axial Factored Loads - Maximum - SD</t>
  </si>
  <si>
    <r>
      <t xml:space="preserve">ASD Level Out-of-Plane Moment, </t>
    </r>
    <r>
      <rPr>
        <i/>
        <sz val="11"/>
        <color theme="1"/>
        <rFont val="Cambria"/>
        <family val="1"/>
      </rPr>
      <t>M</t>
    </r>
    <r>
      <rPr>
        <i/>
        <vertAlign val="subscript"/>
        <sz val="11"/>
        <color theme="1"/>
        <rFont val="Cambria"/>
        <family val="1"/>
      </rPr>
      <t>s</t>
    </r>
    <r>
      <rPr>
        <sz val="11"/>
        <color theme="1"/>
        <rFont val="Cambria"/>
        <family val="1"/>
      </rPr>
      <t xml:space="preserve"> (in.-lb/ft) = </t>
    </r>
  </si>
  <si>
    <r>
      <t xml:space="preserve">Effective Moment of Inertia, </t>
    </r>
    <r>
      <rPr>
        <i/>
        <sz val="11"/>
        <color theme="1"/>
        <rFont val="Cambria"/>
        <family val="1"/>
      </rPr>
      <t>I</t>
    </r>
    <r>
      <rPr>
        <i/>
        <vertAlign val="subscript"/>
        <sz val="11"/>
        <color theme="1"/>
        <rFont val="Cambria"/>
        <family val="1"/>
      </rPr>
      <t>eff</t>
    </r>
    <r>
      <rPr>
        <sz val="11"/>
        <color theme="1"/>
        <rFont val="Cambria"/>
        <family val="1"/>
      </rPr>
      <t xml:space="preserve"> (in.</t>
    </r>
    <r>
      <rPr>
        <vertAlign val="superscript"/>
        <sz val="11"/>
        <color theme="1"/>
        <rFont val="Cambria"/>
        <family val="1"/>
      </rPr>
      <t>4</t>
    </r>
    <r>
      <rPr>
        <sz val="11"/>
        <color theme="1"/>
        <rFont val="Cambria"/>
        <family val="1"/>
      </rPr>
      <t xml:space="preserve">/ft) = </t>
    </r>
  </si>
  <si>
    <t>Redesign Iteration No. 1</t>
  </si>
  <si>
    <t>Redesign Iteration No. 2</t>
  </si>
  <si>
    <t>Redesign Iteration No. 3</t>
  </si>
  <si>
    <t>Redesign Iteration No. 4</t>
  </si>
  <si>
    <t>Redesign Iteration No. 5</t>
  </si>
  <si>
    <t>Redesign Iteration No. 6</t>
  </si>
  <si>
    <t>Redesign Iteration No. 7</t>
  </si>
  <si>
    <t>Redesign Iteration No. 8</t>
  </si>
  <si>
    <t>Redesign Iteration No. 9</t>
  </si>
  <si>
    <t>Redesign Iteration No. 10</t>
  </si>
  <si>
    <t>Redesign Iteration No. 11</t>
  </si>
  <si>
    <t>Redesign Iteration No. 12</t>
  </si>
  <si>
    <t>Redesign Iteration No. 13</t>
  </si>
  <si>
    <t>Redesign Iteration No. 14</t>
  </si>
  <si>
    <r>
      <t>Wall Weight (lb/ft</t>
    </r>
    <r>
      <rPr>
        <vertAlign val="superscript"/>
        <sz val="11"/>
        <color theme="1"/>
        <rFont val="Cambria"/>
        <family val="1"/>
      </rPr>
      <t>2</t>
    </r>
    <r>
      <rPr>
        <sz val="11"/>
        <color theme="1"/>
        <rFont val="Cambria"/>
        <family val="1"/>
      </rPr>
      <t>) for Grout Spacing = 8 in.</t>
    </r>
  </si>
  <si>
    <t xml:space="preserve">Grouting = </t>
  </si>
  <si>
    <t>Partial</t>
  </si>
  <si>
    <t>Redesign Iteration No. 15</t>
  </si>
  <si>
    <t>Redesign Iteration No. 16</t>
  </si>
  <si>
    <t>Redesign Iteration No. 17</t>
  </si>
  <si>
    <t xml:space="preserve">Prescriptive Seismic Maximum Spacing (in.) = </t>
  </si>
  <si>
    <t>Block Design Collective - Partition Wall Calculator</t>
  </si>
  <si>
    <t>B</t>
  </si>
  <si>
    <t>Concrete Masonry Parition - Wall Properties</t>
  </si>
  <si>
    <t>CMU Assembly</t>
  </si>
  <si>
    <t>Vertical Reinforcement</t>
  </si>
  <si>
    <t xml:space="preserve">Reinforcement Size (No.) = </t>
  </si>
  <si>
    <r>
      <t xml:space="preserve">Effective Depth, </t>
    </r>
    <r>
      <rPr>
        <i/>
        <sz val="11"/>
        <color theme="1"/>
        <rFont val="Cambria"/>
        <family val="1"/>
      </rPr>
      <t>d</t>
    </r>
    <r>
      <rPr>
        <i/>
        <vertAlign val="subscript"/>
        <sz val="11"/>
        <color theme="1"/>
        <rFont val="Cambria"/>
        <family val="1"/>
      </rPr>
      <t>VR</t>
    </r>
    <r>
      <rPr>
        <sz val="11"/>
        <color theme="1"/>
        <rFont val="Cambria"/>
        <family val="1"/>
      </rPr>
      <t xml:space="preserve"> (in.) = </t>
    </r>
  </si>
  <si>
    <r>
      <t xml:space="preserve">Specified Yield Strength, </t>
    </r>
    <r>
      <rPr>
        <i/>
        <sz val="11"/>
        <color theme="1"/>
        <rFont val="Cambria"/>
        <family val="1"/>
      </rPr>
      <t>f</t>
    </r>
    <r>
      <rPr>
        <i/>
        <vertAlign val="subscript"/>
        <sz val="11"/>
        <color theme="1"/>
        <rFont val="Cambria"/>
        <family val="1"/>
      </rPr>
      <t>yVR</t>
    </r>
    <r>
      <rPr>
        <sz val="11"/>
        <color theme="1"/>
        <rFont val="Cambria"/>
        <family val="1"/>
      </rPr>
      <t xml:space="preserve"> (lb/in.</t>
    </r>
    <r>
      <rPr>
        <vertAlign val="superscript"/>
        <sz val="11"/>
        <color theme="1"/>
        <rFont val="Cambria"/>
        <family val="1"/>
      </rPr>
      <t>2</t>
    </r>
    <r>
      <rPr>
        <sz val="11"/>
        <color theme="1"/>
        <rFont val="Cambria"/>
        <family val="1"/>
      </rPr>
      <t xml:space="preserve">) = </t>
    </r>
  </si>
  <si>
    <r>
      <t xml:space="preserve">Specified Yield Strength, </t>
    </r>
    <r>
      <rPr>
        <i/>
        <sz val="11"/>
        <color theme="1"/>
        <rFont val="Cambria"/>
        <family val="1"/>
      </rPr>
      <t>f</t>
    </r>
    <r>
      <rPr>
        <i/>
        <vertAlign val="subscript"/>
        <sz val="11"/>
        <color theme="1"/>
        <rFont val="Cambria"/>
        <family val="1"/>
      </rPr>
      <t>yJR</t>
    </r>
    <r>
      <rPr>
        <sz val="11"/>
        <color theme="1"/>
        <rFont val="Cambria"/>
        <family val="1"/>
      </rPr>
      <t xml:space="preserve"> (lb/in.</t>
    </r>
    <r>
      <rPr>
        <vertAlign val="superscript"/>
        <sz val="11"/>
        <color theme="1"/>
        <rFont val="Cambria"/>
        <family val="1"/>
      </rPr>
      <t>2</t>
    </r>
    <r>
      <rPr>
        <sz val="11"/>
        <color theme="1"/>
        <rFont val="Cambria"/>
        <family val="1"/>
      </rPr>
      <t xml:space="preserve">) = </t>
    </r>
  </si>
  <si>
    <t>Horizontal Joint Reinforcement</t>
  </si>
  <si>
    <r>
      <t xml:space="preserve">One-Half of Specified Wall Thickness, </t>
    </r>
    <r>
      <rPr>
        <i/>
        <sz val="11"/>
        <color theme="1"/>
        <rFont val="Cambria"/>
        <family val="1"/>
      </rPr>
      <t>t</t>
    </r>
    <r>
      <rPr>
        <i/>
        <vertAlign val="subscript"/>
        <sz val="11"/>
        <color theme="1"/>
        <rFont val="Cambria"/>
        <family val="1"/>
      </rPr>
      <t>sp</t>
    </r>
    <r>
      <rPr>
        <sz val="11"/>
        <color theme="1"/>
        <rFont val="Cambria"/>
        <family val="1"/>
      </rPr>
      <t xml:space="preserve">/2 (in.) = </t>
    </r>
  </si>
  <si>
    <r>
      <t xml:space="preserve">Vertical Wall Height Design Span, </t>
    </r>
    <r>
      <rPr>
        <i/>
        <sz val="11"/>
        <color theme="1"/>
        <rFont val="Cambria"/>
        <family val="1"/>
      </rPr>
      <t>H</t>
    </r>
    <r>
      <rPr>
        <sz val="11"/>
        <color theme="1"/>
        <rFont val="Cambria"/>
        <family val="1"/>
      </rPr>
      <t xml:space="preserve"> (ft) = </t>
    </r>
  </si>
  <si>
    <r>
      <t>Controlling Out-of-Plane Factored Load (lb/ft</t>
    </r>
    <r>
      <rPr>
        <vertAlign val="superscript"/>
        <sz val="11"/>
        <color theme="1"/>
        <rFont val="Cambria"/>
        <family val="1"/>
      </rPr>
      <t>2</t>
    </r>
    <r>
      <rPr>
        <sz val="11"/>
        <color theme="1"/>
        <rFont val="Cambria"/>
        <family val="1"/>
      </rPr>
      <t xml:space="preserve">) = </t>
    </r>
  </si>
  <si>
    <t>Type N PCL or Mortar Cement</t>
  </si>
  <si>
    <t>Medium Weight</t>
  </si>
  <si>
    <t>C</t>
  </si>
  <si>
    <t>Version 1.2 Last 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</si>
</sst>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0.0"/>
    <numFmt numFmtId="167" formatCode="#,##0.000"/>
    <numFmt numFmtId="168" formatCode="#,##0.0"/>
    <numFmt numFmtId="169" formatCode="0.0%"/>
  </numFmts>
  <fonts count="14" x14ac:knownFonts="1">
    <font>
      <sz val="11"/>
      <color theme="1"/>
      <name val="Calibri"/>
      <family val="2"/>
      <scheme val="minor"/>
    </font>
    <font>
      <i/>
      <sz val="11"/>
      <color theme="1"/>
      <name val="Cambria"/>
      <family val="1"/>
    </font>
    <font>
      <i/>
      <sz val="11"/>
      <color rgb="FF000000"/>
      <name val="Cambria"/>
      <family val="1"/>
    </font>
    <font>
      <i/>
      <vertAlign val="subscript"/>
      <sz val="11"/>
      <color rgb="FF000000"/>
      <name val="Cambria"/>
      <family val="1"/>
    </font>
    <font>
      <sz val="11"/>
      <color rgb="FF000000"/>
      <name val="Cambria"/>
      <family val="1"/>
    </font>
    <font>
      <b/>
      <sz val="11"/>
      <color theme="1"/>
      <name val="Cambria"/>
      <family val="1"/>
    </font>
    <font>
      <sz val="11"/>
      <color theme="1"/>
      <name val="Cambria"/>
      <family val="1"/>
    </font>
    <font>
      <vertAlign val="superscript"/>
      <sz val="11"/>
      <color theme="1"/>
      <name val="Cambria"/>
      <family val="1"/>
    </font>
    <font>
      <i/>
      <vertAlign val="subscript"/>
      <sz val="11"/>
      <color theme="1"/>
      <name val="Cambria"/>
      <family val="1"/>
    </font>
    <font>
      <b/>
      <sz val="14"/>
      <color theme="1"/>
      <name val="Cambria"/>
      <family val="1"/>
    </font>
    <font>
      <sz val="11"/>
      <color theme="1"/>
      <name val="Calibri"/>
      <family val="2"/>
      <scheme val="minor"/>
    </font>
    <font>
      <b/>
      <sz val="11"/>
      <color theme="1"/>
      <name val="Calibri"/>
      <family val="2"/>
      <scheme val="minor"/>
    </font>
    <font>
      <b/>
      <sz val="11"/>
      <color rgb="FF000000"/>
      <name val="Cambria"/>
      <family val="1"/>
    </font>
    <font>
      <i/>
      <sz val="8"/>
      <color theme="1"/>
      <name val="Cambria"/>
      <family val="1"/>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59">
    <xf numFmtId="0" fontId="0" fillId="0" borderId="0" xfId="0"/>
    <xf numFmtId="0" fontId="5" fillId="0" borderId="0" xfId="0" applyFont="1"/>
    <xf numFmtId="0" fontId="6" fillId="0" borderId="0" xfId="0" applyFont="1"/>
    <xf numFmtId="0" fontId="6" fillId="0" borderId="0" xfId="0" applyFont="1" applyAlignment="1">
      <alignment horizontal="right"/>
    </xf>
    <xf numFmtId="0" fontId="6" fillId="0" borderId="0" xfId="0" applyFont="1" applyAlignment="1">
      <alignment horizontal="center"/>
    </xf>
    <xf numFmtId="0" fontId="4" fillId="0" borderId="0" xfId="0" applyFont="1" applyAlignment="1">
      <alignment horizontal="right"/>
    </xf>
    <xf numFmtId="166" fontId="6" fillId="0" borderId="0" xfId="0" applyNumberFormat="1" applyFont="1" applyAlignment="1">
      <alignment horizontal="left"/>
    </xf>
    <xf numFmtId="2" fontId="6" fillId="0" borderId="0" xfId="0" applyNumberFormat="1" applyFont="1" applyAlignment="1">
      <alignment horizontal="left"/>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1" xfId="0" applyFont="1" applyBorder="1"/>
    <xf numFmtId="0" fontId="6" fillId="0" borderId="8" xfId="0" applyFont="1" applyBorder="1"/>
    <xf numFmtId="2" fontId="6" fillId="0" borderId="0" xfId="0" applyNumberFormat="1" applyFont="1" applyAlignment="1">
      <alignment horizontal="center"/>
    </xf>
    <xf numFmtId="0" fontId="6" fillId="0" borderId="0" xfId="0" applyFont="1" applyAlignment="1">
      <alignment horizontal="left"/>
    </xf>
    <xf numFmtId="164" fontId="6" fillId="0" borderId="0" xfId="0" applyNumberFormat="1" applyFont="1" applyAlignment="1">
      <alignment horizontal="left"/>
    </xf>
    <xf numFmtId="3" fontId="6" fillId="0" borderId="0" xfId="0" applyNumberFormat="1" applyFont="1" applyAlignment="1">
      <alignment horizontal="left"/>
    </xf>
    <xf numFmtId="165" fontId="6" fillId="0" borderId="0" xfId="0" applyNumberFormat="1" applyFont="1" applyAlignment="1">
      <alignment horizontal="left"/>
    </xf>
    <xf numFmtId="3" fontId="6" fillId="0" borderId="0" xfId="0" applyNumberFormat="1" applyFont="1" applyAlignment="1">
      <alignment horizontal="center"/>
    </xf>
    <xf numFmtId="168" fontId="6" fillId="0" borderId="0" xfId="0" applyNumberFormat="1" applyFont="1" applyAlignment="1">
      <alignment horizontal="center"/>
    </xf>
    <xf numFmtId="0" fontId="5" fillId="0" borderId="0" xfId="0" applyFont="1" applyAlignment="1">
      <alignment horizontal="center"/>
    </xf>
    <xf numFmtId="1" fontId="6" fillId="0" borderId="0" xfId="0" applyNumberFormat="1" applyFont="1" applyAlignment="1">
      <alignment horizontal="left"/>
    </xf>
    <xf numFmtId="0" fontId="9" fillId="0" borderId="0" xfId="0" applyFont="1"/>
    <xf numFmtId="167" fontId="6" fillId="0" borderId="0" xfId="0" applyNumberFormat="1" applyFont="1" applyAlignment="1">
      <alignment horizontal="left"/>
    </xf>
    <xf numFmtId="168" fontId="6" fillId="0" borderId="0" xfId="0" applyNumberFormat="1" applyFont="1" applyAlignment="1">
      <alignment horizontal="left"/>
    </xf>
    <xf numFmtId="4" fontId="6" fillId="0" borderId="0" xfId="0" applyNumberFormat="1" applyFont="1" applyAlignment="1">
      <alignment horizontal="left"/>
    </xf>
    <xf numFmtId="0" fontId="5" fillId="0" borderId="0" xfId="0" applyFont="1" applyAlignment="1">
      <alignment horizontal="right"/>
    </xf>
    <xf numFmtId="0" fontId="12" fillId="0" borderId="0" xfId="0" applyFont="1" applyAlignment="1">
      <alignment horizontal="right"/>
    </xf>
    <xf numFmtId="0" fontId="5" fillId="0" borderId="2" xfId="0" applyFont="1" applyBorder="1"/>
    <xf numFmtId="169" fontId="6" fillId="0" borderId="0" xfId="1" applyNumberFormat="1" applyFont="1" applyBorder="1" applyAlignment="1">
      <alignment horizontal="left"/>
    </xf>
    <xf numFmtId="0" fontId="5" fillId="0" borderId="1" xfId="0" applyFont="1" applyBorder="1" applyAlignment="1">
      <alignment horizontal="right"/>
    </xf>
    <xf numFmtId="0" fontId="5" fillId="0" borderId="1" xfId="0" applyFont="1" applyBorder="1"/>
    <xf numFmtId="0" fontId="11" fillId="0" borderId="2" xfId="0" applyFont="1" applyBorder="1"/>
    <xf numFmtId="0" fontId="0" fillId="0" borderId="3" xfId="0" applyBorder="1"/>
    <xf numFmtId="0" fontId="0" fillId="0" borderId="6" xfId="0" applyBorder="1"/>
    <xf numFmtId="0" fontId="0" fillId="0" borderId="1" xfId="0" applyBorder="1"/>
    <xf numFmtId="0" fontId="6" fillId="0" borderId="1" xfId="0" applyFont="1" applyBorder="1" applyAlignment="1">
      <alignment horizontal="right"/>
    </xf>
    <xf numFmtId="3" fontId="6" fillId="0" borderId="1" xfId="0" applyNumberFormat="1" applyFont="1" applyBorder="1" applyAlignment="1">
      <alignment horizontal="left"/>
    </xf>
    <xf numFmtId="0" fontId="0" fillId="0" borderId="4" xfId="0" applyBorder="1"/>
    <xf numFmtId="3" fontId="6" fillId="0" borderId="6" xfId="0" applyNumberFormat="1" applyFont="1" applyBorder="1" applyAlignment="1">
      <alignment horizontal="left"/>
    </xf>
    <xf numFmtId="0" fontId="6" fillId="0" borderId="6" xfId="0" applyFont="1" applyBorder="1" applyAlignment="1">
      <alignment horizontal="left"/>
    </xf>
    <xf numFmtId="166" fontId="6" fillId="0" borderId="6" xfId="0" applyNumberFormat="1" applyFont="1" applyBorder="1" applyAlignment="1">
      <alignment horizontal="left"/>
    </xf>
    <xf numFmtId="2" fontId="6" fillId="0" borderId="6" xfId="0" applyNumberFormat="1" applyFont="1" applyBorder="1" applyAlignment="1">
      <alignment horizontal="left"/>
    </xf>
    <xf numFmtId="9" fontId="6" fillId="0" borderId="0" xfId="1" applyFont="1" applyBorder="1" applyAlignment="1">
      <alignment horizontal="left"/>
    </xf>
    <xf numFmtId="9" fontId="6" fillId="0" borderId="1" xfId="1" applyFont="1" applyBorder="1" applyAlignment="1">
      <alignment horizontal="left"/>
    </xf>
    <xf numFmtId="0" fontId="6" fillId="0" borderId="0" xfId="0" applyFont="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xf>
    <xf numFmtId="0" fontId="13" fillId="0" borderId="0" xfId="0" applyFont="1" applyAlignment="1">
      <alignment horizontal="left" vertical="center" wrapText="1"/>
    </xf>
    <xf numFmtId="3" fontId="6" fillId="0" borderId="0" xfId="0" applyNumberFormat="1" applyFont="1" applyFill="1" applyAlignment="1">
      <alignment horizontal="left"/>
    </xf>
    <xf numFmtId="0" fontId="6" fillId="2" borderId="0" xfId="0" applyFont="1" applyFill="1" applyAlignment="1" applyProtection="1">
      <alignment horizontal="left"/>
      <protection locked="0"/>
    </xf>
    <xf numFmtId="2" fontId="6" fillId="2" borderId="0" xfId="0" applyNumberFormat="1" applyFont="1" applyFill="1" applyAlignment="1" applyProtection="1">
      <alignment horizontal="left"/>
      <protection locked="0"/>
    </xf>
    <xf numFmtId="2" fontId="6" fillId="0" borderId="0" xfId="0" applyNumberFormat="1" applyFont="1" applyAlignment="1" applyProtection="1">
      <alignment horizontal="left"/>
      <protection locked="0"/>
    </xf>
    <xf numFmtId="3" fontId="6" fillId="2" borderId="0" xfId="0" applyNumberFormat="1" applyFont="1" applyFill="1" applyAlignment="1" applyProtection="1">
      <alignment horizontal="left"/>
      <protection locked="0"/>
    </xf>
    <xf numFmtId="167" fontId="6" fillId="2" borderId="0" xfId="0" applyNumberFormat="1" applyFont="1" applyFill="1" applyAlignment="1" applyProtection="1">
      <alignment horizontal="left"/>
      <protection locked="0"/>
    </xf>
    <xf numFmtId="0" fontId="6" fillId="0" borderId="0" xfId="0" applyFont="1" applyProtection="1">
      <protection locked="0"/>
    </xf>
    <xf numFmtId="166" fontId="6" fillId="2" borderId="0" xfId="0" applyNumberFormat="1" applyFont="1" applyFill="1" applyAlignment="1" applyProtection="1">
      <alignment horizontal="left"/>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66918</xdr:colOff>
      <xdr:row>8</xdr:row>
      <xdr:rowOff>128955</xdr:rowOff>
    </xdr:from>
    <xdr:ext cx="7229232" cy="19109398"/>
    <xdr:sp macro="" textlink="">
      <xdr:nvSpPr>
        <xdr:cNvPr id="2" name="TextBox 1">
          <a:extLst>
            <a:ext uri="{FF2B5EF4-FFF2-40B4-BE49-F238E27FC236}">
              <a16:creationId xmlns:a16="http://schemas.microsoft.com/office/drawing/2014/main" id="{07C658A5-EB86-4FB5-8B5C-5A98243949BC}"/>
            </a:ext>
          </a:extLst>
        </xdr:cNvPr>
        <xdr:cNvSpPr txBox="1"/>
      </xdr:nvSpPr>
      <xdr:spPr>
        <a:xfrm>
          <a:off x="66918" y="1576755"/>
          <a:ext cx="7229232" cy="19109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1">
              <a:latin typeface="Cambria" panose="02040503050406030204" pitchFamily="18" charset="0"/>
              <a:ea typeface="Cambria" panose="02040503050406030204" pitchFamily="18" charset="0"/>
            </a:rPr>
            <a:t>User Inputs - Concrete Masonry Partition Wall</a:t>
          </a:r>
          <a:r>
            <a:rPr lang="en-US" sz="1100" b="1" baseline="0">
              <a:latin typeface="Cambria" panose="02040503050406030204" pitchFamily="18" charset="0"/>
              <a:ea typeface="Cambria" panose="02040503050406030204" pitchFamily="18" charset="0"/>
            </a:rPr>
            <a:t> Design Calculator</a:t>
          </a:r>
        </a:p>
        <a:p>
          <a:r>
            <a:rPr lang="en-US" sz="1100" baseline="0">
              <a:latin typeface="Cambria" panose="02040503050406030204" pitchFamily="18" charset="0"/>
              <a:ea typeface="Cambria" panose="02040503050406030204" pitchFamily="18" charset="0"/>
            </a:rPr>
            <a:t>This calculator designs interior concrete masonry partition walls in accordance with the strength design provisions of TMS 402/602-22 and the loading criteria of ASCE/SEI 7-22. Highlighted cells are user inputs. Inputs and outputs use inch-pound units.</a:t>
          </a:r>
        </a:p>
        <a:p>
          <a:endParaRPr lang="en-US" sz="1100" baseline="0">
            <a:latin typeface="Cambria" panose="02040503050406030204" pitchFamily="18" charset="0"/>
            <a:ea typeface="Cambria" panose="02040503050406030204" pitchFamily="18" charset="0"/>
          </a:endParaRPr>
        </a:p>
        <a:p>
          <a:r>
            <a:rPr lang="en-US" sz="1100" u="sng" baseline="0">
              <a:latin typeface="Cambria" panose="02040503050406030204" pitchFamily="18" charset="0"/>
              <a:ea typeface="Cambria" panose="02040503050406030204" pitchFamily="18" charset="0"/>
            </a:rPr>
            <a:t>User Inputs - Assembly Properties</a:t>
          </a:r>
        </a:p>
        <a:p>
          <a:r>
            <a:rPr lang="en-US" sz="1100" baseline="0">
              <a:latin typeface="Cambria" panose="02040503050406030204" pitchFamily="18" charset="0"/>
              <a:ea typeface="Cambria" panose="02040503050406030204" pitchFamily="18" charset="0"/>
            </a:rPr>
            <a:t>1) Nominal Wall Thickness, </a:t>
          </a:r>
          <a:r>
            <a:rPr lang="en-US" sz="1100" i="1" baseline="0">
              <a:latin typeface="Cambria" panose="02040503050406030204" pitchFamily="18" charset="0"/>
              <a:ea typeface="Cambria" panose="02040503050406030204" pitchFamily="18" charset="0"/>
            </a:rPr>
            <a:t>t</a:t>
          </a:r>
          <a:r>
            <a:rPr lang="en-US" sz="1100" baseline="0">
              <a:latin typeface="Cambria" panose="02040503050406030204" pitchFamily="18" charset="0"/>
              <a:ea typeface="Cambria" panose="02040503050406030204" pitchFamily="18" charset="0"/>
            </a:rPr>
            <a:t> (in.) - Options include 6, 8, 10, 12, 14, and 16 in. concrete masonry units. The option to use 4 in. concrete masonry units is not included given the relatively small cell sizes of these units and the associated difficulty in placing vertical reinforcement and grout. The specified wall thickness is </a:t>
          </a:r>
          <a:r>
            <a:rPr lang="en-US" sz="1100" baseline="30000">
              <a:latin typeface="Cambria" panose="02040503050406030204" pitchFamily="18" charset="0"/>
              <a:ea typeface="Cambria" panose="02040503050406030204" pitchFamily="18" charset="0"/>
            </a:rPr>
            <a:t>3</a:t>
          </a:r>
          <a:r>
            <a:rPr lang="en-US" sz="1100" baseline="0">
              <a:latin typeface="Cambria" panose="02040503050406030204" pitchFamily="18" charset="0"/>
              <a:ea typeface="Cambria" panose="02040503050406030204" pitchFamily="18" charset="0"/>
            </a:rPr>
            <a:t>/</a:t>
          </a:r>
          <a:r>
            <a:rPr lang="en-US" sz="1100" baseline="-25000">
              <a:latin typeface="Cambria" panose="02040503050406030204" pitchFamily="18" charset="0"/>
              <a:ea typeface="Cambria" panose="02040503050406030204" pitchFamily="18" charset="0"/>
            </a:rPr>
            <a:t>8</a:t>
          </a:r>
          <a:r>
            <a:rPr lang="en-US" sz="1100" baseline="0">
              <a:latin typeface="Cambria" panose="02040503050406030204" pitchFamily="18" charset="0"/>
              <a:ea typeface="Cambria" panose="02040503050406030204" pitchFamily="18" charset="0"/>
            </a:rPr>
            <a:t> in. less than the nominal wall thickness.</a:t>
          </a:r>
        </a:p>
        <a:p>
          <a:r>
            <a:rPr lang="en-US" sz="1100" baseline="0">
              <a:latin typeface="Cambria" panose="02040503050406030204" pitchFamily="18" charset="0"/>
              <a:ea typeface="Cambria" panose="02040503050406030204" pitchFamily="18" charset="0"/>
            </a:rPr>
            <a:t>2) Vertical Reinforcement Size (No.) - Selections include all reinforcing bar sizes permitted by TMS 402. TMS 402 also limits the size of reinforcing bars placed in masonry assemblies to a percentage of the cell area receiving the reinforcement and grout. While some unit configurations allow for larger bar sizes, the following can be conservatively applied when selecting the maximum permitted size of the reinforcing bar based on the nominal wall thickness:</a:t>
          </a:r>
        </a:p>
        <a:p>
          <a:r>
            <a:rPr lang="en-US" sz="1100" baseline="0">
              <a:latin typeface="Cambria" panose="02040503050406030204" pitchFamily="18" charset="0"/>
              <a:ea typeface="Cambria" panose="02040503050406030204" pitchFamily="18" charset="0"/>
            </a:rPr>
            <a:t>     6 in. CMU - No. 6</a:t>
          </a:r>
        </a:p>
        <a:p>
          <a:r>
            <a:rPr lang="en-US" sz="1100" baseline="0">
              <a:solidFill>
                <a:schemeClr val="dk1"/>
              </a:solidFill>
              <a:effectLst/>
              <a:latin typeface="Cambria" panose="02040503050406030204" pitchFamily="18" charset="0"/>
              <a:ea typeface="Cambria" panose="02040503050406030204" pitchFamily="18" charset="0"/>
              <a:cs typeface="+mn-cs"/>
            </a:rPr>
            <a:t>     </a:t>
          </a:r>
          <a:r>
            <a:rPr lang="en-US" sz="1100" baseline="0">
              <a:latin typeface="Cambria" panose="02040503050406030204" pitchFamily="18" charset="0"/>
              <a:ea typeface="Cambria" panose="02040503050406030204" pitchFamily="18" charset="0"/>
            </a:rPr>
            <a:t>8 in. CMU - No. 7</a:t>
          </a:r>
        </a:p>
        <a:p>
          <a:r>
            <a:rPr lang="en-US" sz="1100" baseline="0">
              <a:solidFill>
                <a:schemeClr val="dk1"/>
              </a:solidFill>
              <a:effectLst/>
              <a:latin typeface="Cambria" panose="02040503050406030204" pitchFamily="18" charset="0"/>
              <a:ea typeface="Cambria" panose="02040503050406030204" pitchFamily="18" charset="0"/>
              <a:cs typeface="+mn-cs"/>
            </a:rPr>
            <a:t>     </a:t>
          </a:r>
          <a:r>
            <a:rPr lang="en-US" sz="1100" baseline="0">
              <a:latin typeface="Cambria" panose="02040503050406030204" pitchFamily="18" charset="0"/>
              <a:ea typeface="Cambria" panose="02040503050406030204" pitchFamily="18" charset="0"/>
            </a:rPr>
            <a:t>10 in. CMU - No. 8</a:t>
          </a:r>
        </a:p>
        <a:p>
          <a:r>
            <a:rPr lang="en-US" sz="1100" baseline="0">
              <a:solidFill>
                <a:schemeClr val="dk1"/>
              </a:solidFill>
              <a:effectLst/>
              <a:latin typeface="Cambria" panose="02040503050406030204" pitchFamily="18" charset="0"/>
              <a:ea typeface="Cambria" panose="02040503050406030204" pitchFamily="18" charset="0"/>
              <a:cs typeface="+mn-cs"/>
            </a:rPr>
            <a:t>     </a:t>
          </a:r>
          <a:r>
            <a:rPr lang="en-US" sz="1100" baseline="0">
              <a:latin typeface="Cambria" panose="02040503050406030204" pitchFamily="18" charset="0"/>
              <a:ea typeface="Cambria" panose="02040503050406030204" pitchFamily="18" charset="0"/>
            </a:rPr>
            <a:t>12 in. CMU - No. 9</a:t>
          </a:r>
        </a:p>
        <a:p>
          <a:r>
            <a:rPr lang="en-US" sz="1100" baseline="0">
              <a:solidFill>
                <a:schemeClr val="dk1"/>
              </a:solidFill>
              <a:effectLst/>
              <a:latin typeface="Cambria" panose="02040503050406030204" pitchFamily="18" charset="0"/>
              <a:ea typeface="Cambria" panose="02040503050406030204" pitchFamily="18" charset="0"/>
              <a:cs typeface="+mn-cs"/>
            </a:rPr>
            <a:t>     </a:t>
          </a:r>
          <a:r>
            <a:rPr lang="en-US" sz="1100" baseline="0">
              <a:latin typeface="Cambria" panose="02040503050406030204" pitchFamily="18" charset="0"/>
              <a:ea typeface="Cambria" panose="02040503050406030204" pitchFamily="18" charset="0"/>
            </a:rPr>
            <a:t>14 in. CMU - No. 11</a:t>
          </a:r>
        </a:p>
        <a:p>
          <a:r>
            <a:rPr lang="en-US" sz="1100" baseline="0">
              <a:solidFill>
                <a:schemeClr val="dk1"/>
              </a:solidFill>
              <a:effectLst/>
              <a:latin typeface="Cambria" panose="02040503050406030204" pitchFamily="18" charset="0"/>
              <a:ea typeface="Cambria" panose="02040503050406030204" pitchFamily="18" charset="0"/>
              <a:cs typeface="+mn-cs"/>
            </a:rPr>
            <a:t>     </a:t>
          </a:r>
          <a:r>
            <a:rPr lang="en-US" sz="1100" baseline="0">
              <a:latin typeface="Cambria" panose="02040503050406030204" pitchFamily="18" charset="0"/>
              <a:ea typeface="Cambria" panose="02040503050406030204" pitchFamily="18" charset="0"/>
            </a:rPr>
            <a:t>16 in. CMU - No. 11</a:t>
          </a:r>
        </a:p>
        <a:p>
          <a:r>
            <a:rPr lang="en-US" sz="1100" baseline="0">
              <a:latin typeface="Cambria" panose="02040503050406030204" pitchFamily="18" charset="0"/>
              <a:ea typeface="Cambria" panose="02040503050406030204" pitchFamily="18" charset="0"/>
            </a:rPr>
            <a:t>3) Vertical Wall Height Design Span, </a:t>
          </a:r>
          <a:r>
            <a:rPr lang="en-US" sz="1100" i="1" baseline="0">
              <a:latin typeface="Cambria" panose="02040503050406030204" pitchFamily="18" charset="0"/>
              <a:ea typeface="Cambria" panose="02040503050406030204" pitchFamily="18" charset="0"/>
            </a:rPr>
            <a:t>H</a:t>
          </a:r>
          <a:r>
            <a:rPr lang="en-US" sz="1100" baseline="0">
              <a:latin typeface="Cambria" panose="02040503050406030204" pitchFamily="18" charset="0"/>
              <a:ea typeface="Cambria" panose="02040503050406030204" pitchFamily="18" charset="0"/>
            </a:rPr>
            <a:t> (ft) - Height of the masonry partition (vertical span) from the support at the base to the top of the wall. While any design height may be selected, concrete masonry construction is ideally laid out using modular dimensions that are a multiple of 8.</a:t>
          </a:r>
        </a:p>
        <a:p>
          <a:r>
            <a:rPr lang="en-US" sz="1100" baseline="0">
              <a:latin typeface="Cambria" panose="02040503050406030204" pitchFamily="18" charset="0"/>
              <a:ea typeface="Cambria" panose="02040503050406030204" pitchFamily="18" charset="0"/>
            </a:rPr>
            <a:t>4) One-Half- of the Specified Wall Thickness, </a:t>
          </a:r>
          <a:r>
            <a:rPr lang="en-US" sz="1100" i="1" baseline="0">
              <a:latin typeface="Cambria" panose="02040503050406030204" pitchFamily="18" charset="0"/>
              <a:ea typeface="Cambria" panose="02040503050406030204" pitchFamily="18" charset="0"/>
            </a:rPr>
            <a:t>t</a:t>
          </a:r>
          <a:r>
            <a:rPr lang="en-US" sz="1100" i="1" baseline="-25000">
              <a:latin typeface="Cambria" panose="02040503050406030204" pitchFamily="18" charset="0"/>
              <a:ea typeface="Cambria" panose="02040503050406030204" pitchFamily="18" charset="0"/>
            </a:rPr>
            <a:t>sp</a:t>
          </a:r>
          <a:r>
            <a:rPr lang="en-US" sz="1100" baseline="0">
              <a:latin typeface="Cambria" panose="02040503050406030204" pitchFamily="18" charset="0"/>
              <a:ea typeface="Cambria" panose="02040503050406030204" pitchFamily="18" charset="0"/>
            </a:rPr>
            <a:t> (in.) - Vertical reinforcement in masonry partitions is typicallly placed in the center of the wall. The calculator calculates this dimension based on the selected nominal wall thickness, which may be entered into the next field.</a:t>
          </a:r>
        </a:p>
        <a:p>
          <a:r>
            <a:rPr lang="en-US" sz="1100" b="0" i="0" u="none" strike="noStrike">
              <a:solidFill>
                <a:schemeClr val="dk1"/>
              </a:solidFill>
              <a:effectLst/>
              <a:latin typeface="Cambria" panose="02040503050406030204" pitchFamily="18" charset="0"/>
              <a:ea typeface="Cambria" panose="02040503050406030204" pitchFamily="18" charset="0"/>
              <a:cs typeface="+mn-cs"/>
            </a:rPr>
            <a:t>5) Effective Depth of Vertical Reinforcement, </a:t>
          </a:r>
          <a:r>
            <a:rPr lang="en-US" sz="1100" b="0" i="1" u="none" strike="noStrike">
              <a:solidFill>
                <a:schemeClr val="dk1"/>
              </a:solidFill>
              <a:effectLst/>
              <a:latin typeface="Cambria" panose="02040503050406030204" pitchFamily="18" charset="0"/>
              <a:ea typeface="Cambria" panose="02040503050406030204" pitchFamily="18" charset="0"/>
              <a:cs typeface="+mn-cs"/>
            </a:rPr>
            <a:t>d</a:t>
          </a:r>
          <a:r>
            <a:rPr lang="en-US" sz="1100" b="0" i="1" u="none" strike="noStrike" baseline="-25000">
              <a:solidFill>
                <a:schemeClr val="dk1"/>
              </a:solidFill>
              <a:effectLst/>
              <a:latin typeface="Cambria" panose="02040503050406030204" pitchFamily="18" charset="0"/>
              <a:ea typeface="Cambria" panose="02040503050406030204" pitchFamily="18" charset="0"/>
              <a:cs typeface="+mn-cs"/>
            </a:rPr>
            <a:t>VR</a:t>
          </a:r>
          <a:r>
            <a:rPr lang="en-US" sz="1100" b="0" i="0" u="none" strike="noStrike">
              <a:solidFill>
                <a:schemeClr val="dk1"/>
              </a:solidFill>
              <a:effectLst/>
              <a:latin typeface="Cambria" panose="02040503050406030204" pitchFamily="18" charset="0"/>
              <a:ea typeface="Cambria" panose="02040503050406030204" pitchFamily="18" charset="0"/>
              <a:cs typeface="+mn-cs"/>
            </a:rPr>
            <a:t> (in.) - The</a:t>
          </a:r>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 distance from the compression face to the center of the vertical reinforcement; typically one-half of the specified wall thickness. When the vertical reinforcement is not centered, the assembly must by symmetrically reinforced such that the two layers of vertical reinforcement have equal effective depths to the opposite face. Typically, incorporating more than a single layer of vertical reinforcement in concrete masonry assemblies having nominal thicknesses of 8 in. or less is discouraged for congestion and grout placement reasons.</a:t>
          </a:r>
        </a:p>
        <a:p>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6) Specified Yield Strength of Vertical Reinforcement, </a:t>
          </a:r>
          <a:r>
            <a:rPr lang="en-US" sz="1100" b="0" i="1" u="none" strike="noStrike" baseline="0">
              <a:solidFill>
                <a:schemeClr val="dk1"/>
              </a:solidFill>
              <a:effectLst/>
              <a:latin typeface="Cambria" panose="02040503050406030204" pitchFamily="18" charset="0"/>
              <a:ea typeface="Cambria" panose="02040503050406030204" pitchFamily="18" charset="0"/>
              <a:cs typeface="+mn-cs"/>
            </a:rPr>
            <a:t>f</a:t>
          </a:r>
          <a:r>
            <a:rPr lang="en-US" sz="1100" b="0" i="1" u="none" strike="noStrike" baseline="-25000">
              <a:solidFill>
                <a:schemeClr val="dk1"/>
              </a:solidFill>
              <a:effectLst/>
              <a:latin typeface="Cambria" panose="02040503050406030204" pitchFamily="18" charset="0"/>
              <a:ea typeface="Cambria" panose="02040503050406030204" pitchFamily="18" charset="0"/>
              <a:cs typeface="+mn-cs"/>
            </a:rPr>
            <a:t>yVR</a:t>
          </a:r>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 (lb/in.</a:t>
          </a:r>
          <a:r>
            <a:rPr lang="en-US" sz="1100" b="0" i="0" u="none" strike="noStrike" baseline="30000">
              <a:solidFill>
                <a:schemeClr val="dk1"/>
              </a:solidFill>
              <a:effectLst/>
              <a:latin typeface="Cambria" panose="02040503050406030204" pitchFamily="18" charset="0"/>
              <a:ea typeface="Cambria" panose="02040503050406030204" pitchFamily="18" charset="0"/>
              <a:cs typeface="+mn-cs"/>
            </a:rPr>
            <a:t>2</a:t>
          </a:r>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 - TMS 402 allows the use of either Grade 40 (40,000 lb/in.</a:t>
          </a:r>
          <a:r>
            <a:rPr lang="en-US" sz="1100" b="0" i="0" u="none" strike="noStrike" baseline="30000">
              <a:solidFill>
                <a:schemeClr val="dk1"/>
              </a:solidFill>
              <a:effectLst/>
              <a:latin typeface="Cambria" panose="02040503050406030204" pitchFamily="18" charset="0"/>
              <a:ea typeface="Cambria" panose="02040503050406030204" pitchFamily="18" charset="0"/>
              <a:cs typeface="+mn-cs"/>
            </a:rPr>
            <a:t>2</a:t>
          </a:r>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 or Grade 60 (60,000 lb/in.</a:t>
          </a:r>
          <a:r>
            <a:rPr lang="en-US" sz="1100" b="0" i="0" u="none" strike="noStrike" baseline="30000">
              <a:solidFill>
                <a:schemeClr val="dk1"/>
              </a:solidFill>
              <a:effectLst/>
              <a:latin typeface="Cambria" panose="02040503050406030204" pitchFamily="18" charset="0"/>
              <a:ea typeface="Cambria" panose="02040503050406030204" pitchFamily="18" charset="0"/>
              <a:cs typeface="+mn-cs"/>
            </a:rPr>
            <a:t>2</a:t>
          </a:r>
          <a:r>
            <a:rPr lang="en-US" sz="1100" b="0" i="0" u="none" strike="noStrike" baseline="0">
              <a:solidFill>
                <a:schemeClr val="dk1"/>
              </a:solidFill>
              <a:effectLst/>
              <a:latin typeface="Cambria" panose="02040503050406030204" pitchFamily="18" charset="0"/>
              <a:ea typeface="Cambria" panose="02040503050406030204" pitchFamily="18" charset="0"/>
              <a:cs typeface="+mn-cs"/>
            </a:rPr>
            <a:t>) reinforcing steel.</a:t>
          </a:r>
          <a:endParaRPr lang="en-US" sz="1100" baseline="0">
            <a:latin typeface="Cambria" panose="02040503050406030204" pitchFamily="18" charset="0"/>
            <a:ea typeface="Cambria" panose="02040503050406030204" pitchFamily="18" charset="0"/>
          </a:endParaRPr>
        </a:p>
        <a:p>
          <a:r>
            <a:rPr lang="en-US" sz="1100" baseline="0">
              <a:latin typeface="Cambria" panose="02040503050406030204" pitchFamily="18" charset="0"/>
              <a:ea typeface="Cambria" panose="02040503050406030204" pitchFamily="18" charset="0"/>
            </a:rPr>
            <a:t>7) Size of Joint Reinforcement - The most commonly used/available joint reinforcing size is 9 gauge (W1.7 having a diameter of 0.148 in.) wire, however, TMS 402 allows up to </a:t>
          </a:r>
          <a:r>
            <a:rPr lang="en-US" sz="1100" baseline="30000">
              <a:latin typeface="Cambria" panose="02040503050406030204" pitchFamily="18" charset="0"/>
              <a:ea typeface="Cambria" panose="02040503050406030204" pitchFamily="18" charset="0"/>
            </a:rPr>
            <a:t>3</a:t>
          </a:r>
          <a:r>
            <a:rPr lang="en-US" sz="1100" baseline="0">
              <a:latin typeface="Cambria" panose="02040503050406030204" pitchFamily="18" charset="0"/>
              <a:ea typeface="Cambria" panose="02040503050406030204" pitchFamily="18" charset="0"/>
            </a:rPr>
            <a:t>/</a:t>
          </a:r>
          <a:r>
            <a:rPr lang="en-US" sz="1100" baseline="-25000">
              <a:latin typeface="Cambria" panose="02040503050406030204" pitchFamily="18" charset="0"/>
              <a:ea typeface="Cambria" panose="02040503050406030204" pitchFamily="18" charset="0"/>
            </a:rPr>
            <a:t>16</a:t>
          </a:r>
          <a:r>
            <a:rPr lang="en-US" sz="1100" baseline="0">
              <a:latin typeface="Cambria" panose="02040503050406030204" pitchFamily="18" charset="0"/>
              <a:ea typeface="Cambria" panose="02040503050406030204" pitchFamily="18" charset="0"/>
            </a:rPr>
            <a:t> in. (W2.8 having a diameter of 0.187 in.) joint reinforcing wire to be used. Specifying </a:t>
          </a:r>
          <a:r>
            <a:rPr lang="en-US" sz="1100" baseline="30000">
              <a:latin typeface="Cambria" panose="02040503050406030204" pitchFamily="18" charset="0"/>
              <a:ea typeface="Cambria" panose="02040503050406030204" pitchFamily="18" charset="0"/>
            </a:rPr>
            <a:t>3</a:t>
          </a:r>
          <a:r>
            <a:rPr lang="en-US" sz="1100" baseline="0">
              <a:latin typeface="Cambria" panose="02040503050406030204" pitchFamily="18" charset="0"/>
              <a:ea typeface="Cambria" panose="02040503050406030204" pitchFamily="18" charset="0"/>
            </a:rPr>
            <a:t>/</a:t>
          </a:r>
          <a:r>
            <a:rPr lang="en-US" sz="1100" baseline="-25000">
              <a:latin typeface="Cambria" panose="02040503050406030204" pitchFamily="18" charset="0"/>
              <a:ea typeface="Cambria" panose="02040503050406030204" pitchFamily="18" charset="0"/>
            </a:rPr>
            <a:t>16</a:t>
          </a:r>
          <a:r>
            <a:rPr lang="en-US" sz="1100" baseline="0">
              <a:latin typeface="Cambria" panose="02040503050406030204" pitchFamily="18" charset="0"/>
              <a:ea typeface="Cambria" panose="02040503050406030204" pitchFamily="18" charset="0"/>
            </a:rPr>
            <a:t> in. diameter should be done with caution as this is the largest diameter of wire that can be placed in a </a:t>
          </a:r>
          <a:r>
            <a:rPr lang="en-US" sz="1100" baseline="30000">
              <a:latin typeface="Cambria" panose="02040503050406030204" pitchFamily="18" charset="0"/>
              <a:ea typeface="Cambria" panose="02040503050406030204" pitchFamily="18" charset="0"/>
            </a:rPr>
            <a:t>3</a:t>
          </a:r>
          <a:r>
            <a:rPr lang="en-US" sz="1100" baseline="0">
              <a:latin typeface="Cambria" panose="02040503050406030204" pitchFamily="18" charset="0"/>
              <a:ea typeface="Cambria" panose="02040503050406030204" pitchFamily="18" charset="0"/>
            </a:rPr>
            <a:t>/</a:t>
          </a:r>
          <a:r>
            <a:rPr lang="en-US" sz="1100" baseline="-25000">
              <a:latin typeface="Cambria" panose="02040503050406030204" pitchFamily="18" charset="0"/>
              <a:ea typeface="Cambria" panose="02040503050406030204" pitchFamily="18" charset="0"/>
            </a:rPr>
            <a:t>8</a:t>
          </a:r>
          <a:r>
            <a:rPr lang="en-US" sz="1100" baseline="0">
              <a:latin typeface="Cambria" panose="02040503050406030204" pitchFamily="18" charset="0"/>
              <a:ea typeface="Cambria" panose="02040503050406030204" pitchFamily="18" charset="0"/>
            </a:rPr>
            <a:t> in. thick mortar joint, effectively leaving no room to accommodate construction tolerances or lap splicing of the joint reinforcing.</a:t>
          </a:r>
        </a:p>
        <a:p>
          <a:r>
            <a:rPr lang="en-US" sz="1100" baseline="0">
              <a:latin typeface="Cambria" panose="02040503050406030204" pitchFamily="18" charset="0"/>
              <a:ea typeface="Cambria" panose="02040503050406030204" pitchFamily="18" charset="0"/>
            </a:rPr>
            <a:t>8) Spacing of Joint Reinforcement (in.) - Joint reinforcement is most commonly spaced at 16 in. on center in concrete masonry construction, but this spacing may be decreased to 8 in. on center where design loads warrant additional horizontal reinforcing steel. Inputs also allow for 4 in. and 12 in. spacing options, but these are only applicable to concrete masonry assemblies constructed using half-high (nominally 4 in. tall) concrete masonry units.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9) Specified Yield Strength of Joint Reinforcement, </a:t>
          </a:r>
          <a:r>
            <a:rPr lang="en-US" sz="1100" i="1" baseline="0">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yJR</a:t>
          </a:r>
          <a:r>
            <a:rPr lang="en-US" sz="1100" baseline="0">
              <a:latin typeface="Cambria" panose="02040503050406030204" pitchFamily="18" charset="0"/>
              <a:ea typeface="Cambria" panose="02040503050406030204" pitchFamily="18" charset="0"/>
            </a:rPr>
            <a:t> </a:t>
          </a:r>
          <a:r>
            <a:rPr lang="en-US" sz="1100" b="0" i="0" baseline="0">
              <a:solidFill>
                <a:schemeClr val="dk1"/>
              </a:solidFill>
              <a:effectLst/>
              <a:latin typeface="Cambria" panose="02040503050406030204" pitchFamily="18" charset="0"/>
              <a:ea typeface="Cambria" panose="02040503050406030204" pitchFamily="18" charset="0"/>
              <a:cs typeface="+mn-cs"/>
            </a:rPr>
            <a:t>(lb/in.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 Most cold-drawn joint reinforcing wire has a specified yield strength of 70,000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This is also the maximum specified yield strength permitted by TMS 402 for joint reinforcement.</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10) Specified Masonry Compressive Strength,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 In accordance with TMS 402, nonloadbearing partition walls are permitted to carry only a maximum of 200 lb/ft of allowable stress level axial load in addition to their self-weight. As such, there is usually little structural benefit in specifying a high strength masonry assembly for typical partition wall applications. A standard concrete masonry unit meeting the minimum requirements of ASTM C90 has a compressive strength of 2,000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When laid in Type S mortar, the resulting assembly compressive strength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is 2,000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When laid in Type N mortar, the resulting assembly compressive strength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is 1,750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The calculator also checks whether the assembly is tension- or compression-controlled as defined by TMS 402. When the assembly is compression-controlled, the specified compressive strength of the masonry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will need to be increased to satisfy the design checks of this calculator.</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11) CMU Density (lb/ft</a:t>
          </a:r>
          <a:r>
            <a:rPr lang="en-US" sz="1100" b="0" i="0" baseline="30000">
              <a:solidFill>
                <a:schemeClr val="dk1"/>
              </a:solidFill>
              <a:effectLst/>
              <a:latin typeface="Cambria" panose="02040503050406030204" pitchFamily="18" charset="0"/>
              <a:ea typeface="Cambria" panose="02040503050406030204" pitchFamily="18" charset="0"/>
              <a:cs typeface="+mn-cs"/>
            </a:rPr>
            <a:t>3</a:t>
          </a:r>
          <a:r>
            <a:rPr lang="en-US" sz="1100" b="0" i="0" baseline="0">
              <a:solidFill>
                <a:schemeClr val="dk1"/>
              </a:solidFill>
              <a:effectLst/>
              <a:latin typeface="Cambria" panose="02040503050406030204" pitchFamily="18" charset="0"/>
              <a:ea typeface="Cambria" panose="02040503050406030204" pitchFamily="18" charset="0"/>
              <a:cs typeface="+mn-cs"/>
            </a:rPr>
            <a:t>) - Most concrete masonry units have a densities that vary from 100 lb/ft</a:t>
          </a:r>
          <a:r>
            <a:rPr lang="en-US" sz="1100" b="0" i="0" baseline="30000">
              <a:solidFill>
                <a:schemeClr val="dk1"/>
              </a:solidFill>
              <a:effectLst/>
              <a:latin typeface="Cambria" panose="02040503050406030204" pitchFamily="18" charset="0"/>
              <a:ea typeface="Cambria" panose="02040503050406030204" pitchFamily="18" charset="0"/>
              <a:cs typeface="+mn-cs"/>
            </a:rPr>
            <a:t>3</a:t>
          </a:r>
          <a:r>
            <a:rPr lang="en-US" sz="1100" b="0" i="0" baseline="0">
              <a:solidFill>
                <a:schemeClr val="dk1"/>
              </a:solidFill>
              <a:effectLst/>
              <a:latin typeface="Cambria" panose="02040503050406030204" pitchFamily="18" charset="0"/>
              <a:ea typeface="Cambria" panose="02040503050406030204" pitchFamily="18" charset="0"/>
              <a:cs typeface="+mn-cs"/>
            </a:rPr>
            <a:t> to 130 lb/ft</a:t>
          </a:r>
          <a:r>
            <a:rPr lang="en-US" sz="1100" b="0" i="0" baseline="30000">
              <a:solidFill>
                <a:schemeClr val="dk1"/>
              </a:solidFill>
              <a:effectLst/>
              <a:latin typeface="Cambria" panose="02040503050406030204" pitchFamily="18" charset="0"/>
              <a:ea typeface="Cambria" panose="02040503050406030204" pitchFamily="18" charset="0"/>
              <a:cs typeface="+mn-cs"/>
            </a:rPr>
            <a:t>3</a:t>
          </a:r>
          <a:r>
            <a:rPr lang="en-US" sz="1100" b="0" i="0" baseline="0">
              <a:solidFill>
                <a:schemeClr val="dk1"/>
              </a:solidFill>
              <a:effectLst/>
              <a:latin typeface="Cambria" panose="02040503050406030204" pitchFamily="18" charset="0"/>
              <a:ea typeface="Cambria" panose="02040503050406030204" pitchFamily="18" charset="0"/>
              <a:cs typeface="+mn-cs"/>
            </a:rPr>
            <a:t>, depending on the aggregate used in their production. The density of the CMU is used in determining the assembly weight for axial and out-of-plane design checks, and when applicable, corresponding axial and out-of-plane seismic loads.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12) Mortar Type - When joint reinforcement is used to resist applied loads (such as modeled with this calculator), TMS 402 limits the mortar to either portland cement/lime or mortar cement mortars. As such, masonry cement mortar and air-entrained portland cement/lime mortar is not permitted when designing partitions using this calculator. Although this calculator designs the masonry partition as reinforced masonry, the type of mortar selected will impact the calculated out-of-plane deflection.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13) Bond Pattern - Because partitions designed using this calculator consider bi-directional load distribution (considered both horizontally and vertically spanning elements), the partition is required to be constructed in running bond as the modulus of rupture of stack bond construction spanning horizontally is zero.</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14) Grouting - The calculator will determine the maximum spacing of vertical reinforcement required to safely resist the design loading. If partial grout is selected, the design will consider only the vertically reinforced cells as being grouted. Selecting fully grouted will override this an design the assembly with grout place in all vertical cells regardless of the spacing of the vertical reinforcement.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Cambria" panose="02040503050406030204" pitchFamily="18" charset="0"/>
            <a:ea typeface="Cambria" panose="02040503050406030204" pitchFamily="18" charset="0"/>
            <a:cs typeface="+mn-cs"/>
          </a:endParaRPr>
        </a:p>
        <a:p>
          <a:r>
            <a:rPr lang="en-US" sz="1100" u="sng" baseline="0">
              <a:solidFill>
                <a:schemeClr val="dk1"/>
              </a:solidFill>
              <a:effectLst/>
              <a:latin typeface="Cambria" panose="02040503050406030204" pitchFamily="18" charset="0"/>
              <a:ea typeface="Cambria" panose="02040503050406030204" pitchFamily="18" charset="0"/>
              <a:cs typeface="+mn-cs"/>
            </a:rPr>
            <a:t>Tension-Controlled Design Check</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The strength reduction factor (</a:t>
          </a:r>
          <a:r>
            <a:rPr lang="el-GR" sz="1100" i="1" baseline="0">
              <a:solidFill>
                <a:schemeClr val="dk1"/>
              </a:solidFill>
              <a:effectLst/>
              <a:latin typeface="Cambria" panose="02040503050406030204" pitchFamily="18" charset="0"/>
              <a:ea typeface="Cambria" panose="02040503050406030204" pitchFamily="18" charset="0"/>
              <a:cs typeface="+mn-cs"/>
            </a:rPr>
            <a:t>ϕ</a:t>
          </a:r>
          <a:r>
            <a:rPr lang="en-US" sz="1100" baseline="0">
              <a:solidFill>
                <a:schemeClr val="dk1"/>
              </a:solidFill>
              <a:effectLst/>
              <a:latin typeface="Cambria" panose="02040503050406030204" pitchFamily="18" charset="0"/>
              <a:ea typeface="Cambria" panose="02040503050406030204" pitchFamily="18" charset="0"/>
              <a:cs typeface="+mn-cs"/>
            </a:rPr>
            <a:t>) stipulated by TMS 402 varies between 0.65 for compression-controlled masonry assemblies to 0.90 for tension-controlled masonry assemblies with a linear transition between these upper and lower bounds based on the tensile strain in the reinforcement. Because the design of partition walls is controlled by the out-of-plane flexural strength and behavior of the assembly, this calculator applies a tension-controlled strength reduction factor of 0.90 to all design checks to achieve the most economical design. </a:t>
          </a:r>
        </a:p>
        <a:p>
          <a:endParaRPr lang="en-US">
            <a:effectLst/>
            <a:latin typeface="Cambria" panose="02040503050406030204" pitchFamily="18" charset="0"/>
            <a:ea typeface="Cambria" panose="02040503050406030204" pitchFamily="18" charset="0"/>
          </a:endParaRPr>
        </a:p>
        <a:p>
          <a:r>
            <a:rPr lang="en-US" sz="1100" u="sng" baseline="0">
              <a:solidFill>
                <a:schemeClr val="dk1"/>
              </a:solidFill>
              <a:effectLst/>
              <a:latin typeface="Cambria" panose="02040503050406030204" pitchFamily="18" charset="0"/>
              <a:ea typeface="Cambria" panose="02040503050406030204" pitchFamily="18" charset="0"/>
              <a:cs typeface="+mn-cs"/>
            </a:rPr>
            <a:t>User Inputs - Design Loading</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1) Superimposed Axial Loads - TMS 402 permits small axial loads to be applied to nonloadbearing masonry walls, but limits the total allowable stress level axial load to 200 lb/ft or less. Calculator inputs can be either superimposed dead or live loads, provided the combined axial load does not exceed 200 lb/ft. Sign convention is positive (+) for compressive loading and negative (-) for tensile loading. Superimposed loads are assumed to be applied along the top of the wall for design analyses checks.</a:t>
          </a:r>
          <a:endParaRPr lang="en-US">
            <a:effectLst/>
            <a:latin typeface="Cambria" panose="02040503050406030204" pitchFamily="18" charset="0"/>
            <a:ea typeface="Cambria" panose="02040503050406030204" pitchFamily="18" charset="0"/>
          </a:endParaRPr>
        </a:p>
        <a:p>
          <a:r>
            <a:rPr lang="en-US" sz="1100" b="0" i="0" baseline="0">
              <a:solidFill>
                <a:schemeClr val="dk1"/>
              </a:solidFill>
              <a:effectLst/>
              <a:latin typeface="Cambria" panose="02040503050406030204" pitchFamily="18" charset="0"/>
              <a:ea typeface="Cambria" panose="02040503050406030204" pitchFamily="18" charset="0"/>
              <a:cs typeface="+mn-cs"/>
            </a:rPr>
            <a:t>2) Out-of-Plane Live Loading - ASCE/SEI 7 Section 4.3.4 requires partitions that exceed 6 ft in height be designed to resist a horizontal live load of not less than 5 lb/ft</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a:t>
          </a:r>
          <a:endParaRPr lang="en-US">
            <a:effectLst/>
            <a:latin typeface="Cambria" panose="02040503050406030204" pitchFamily="18" charset="0"/>
            <a:ea typeface="Cambria" panose="02040503050406030204" pitchFamily="18" charset="0"/>
          </a:endParaRPr>
        </a:p>
        <a:p>
          <a:r>
            <a:rPr lang="en-US" sz="1100" b="0" i="0" baseline="0">
              <a:solidFill>
                <a:schemeClr val="dk1"/>
              </a:solidFill>
              <a:effectLst/>
              <a:latin typeface="Cambria" panose="02040503050406030204" pitchFamily="18" charset="0"/>
              <a:ea typeface="Cambria" panose="02040503050406030204" pitchFamily="18" charset="0"/>
              <a:cs typeface="+mn-cs"/>
            </a:rPr>
            <a:t>3) Basic Wind Speed, </a:t>
          </a:r>
          <a:r>
            <a:rPr lang="en-US" sz="1100" b="0" i="1" baseline="0">
              <a:solidFill>
                <a:schemeClr val="dk1"/>
              </a:solidFill>
              <a:effectLst/>
              <a:latin typeface="Cambria" panose="02040503050406030204" pitchFamily="18" charset="0"/>
              <a:ea typeface="Cambria" panose="02040503050406030204" pitchFamily="18" charset="0"/>
              <a:cs typeface="+mn-cs"/>
            </a:rPr>
            <a:t>V</a:t>
          </a:r>
          <a:r>
            <a:rPr lang="en-US" sz="1100" b="0" i="0" baseline="0">
              <a:solidFill>
                <a:schemeClr val="dk1"/>
              </a:solidFill>
              <a:effectLst/>
              <a:latin typeface="Cambria" panose="02040503050406030204" pitchFamily="18" charset="0"/>
              <a:ea typeface="Cambria" panose="02040503050406030204" pitchFamily="18" charset="0"/>
              <a:cs typeface="+mn-cs"/>
            </a:rPr>
            <a:t> (mph) - The mapped design wind speed for the project location based on the structure's assigned risk category determined in accordance with ASCE/SEI 7 Chapter 26 and Section 1.5. The basic design wind speed can be determined using the online ASCE Hazard Tool: https://ascehazardtool.org/.</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4) Wind Exposure Category - The wind exposure category (B, C, or D) determined in accordance with ASCE/SEI 7 Section 26.7 based on the surface roughness characteristics surrounding the project site.</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5) Ground Elevation (ft) - Ground elevation above sea level at the project location.</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6) Mean Roof Height (ft) - Average height of the roof above grade.</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7) Topographic Factor, </a:t>
          </a:r>
          <a:r>
            <a:rPr lang="en-US" sz="1100" i="1" baseline="0">
              <a:solidFill>
                <a:schemeClr val="dk1"/>
              </a:solidFill>
              <a:effectLst/>
              <a:latin typeface="Cambria" panose="02040503050406030204" pitchFamily="18" charset="0"/>
              <a:ea typeface="Cambria" panose="02040503050406030204" pitchFamily="18" charset="0"/>
              <a:cs typeface="+mn-cs"/>
            </a:rPr>
            <a:t>K</a:t>
          </a:r>
          <a:r>
            <a:rPr lang="en-US" sz="1100" i="1" baseline="-25000">
              <a:solidFill>
                <a:schemeClr val="dk1"/>
              </a:solidFill>
              <a:effectLst/>
              <a:latin typeface="Cambria" panose="02040503050406030204" pitchFamily="18" charset="0"/>
              <a:ea typeface="Cambria" panose="02040503050406030204" pitchFamily="18" charset="0"/>
              <a:cs typeface="+mn-cs"/>
            </a:rPr>
            <a:t>zt</a:t>
          </a:r>
          <a:r>
            <a:rPr lang="en-US" sz="1100" baseline="0">
              <a:solidFill>
                <a:schemeClr val="dk1"/>
              </a:solidFill>
              <a:effectLst/>
              <a:latin typeface="Cambria" panose="02040503050406030204" pitchFamily="18" charset="0"/>
              <a:ea typeface="Cambria" panose="02040503050406030204" pitchFamily="18" charset="0"/>
              <a:cs typeface="+mn-cs"/>
            </a:rPr>
            <a:t> - Factor to account for wind speed-up effects due to topography surrounding the project location as determined in accordance with ASCE/SEI 7 Section 26.8.</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8) Building Enclosure Classification - Used for determining the internal pressures within a building due to external wind loading as determined in accordance with ASCE/SEI 7 Section 26.12.</a:t>
          </a:r>
          <a:endParaRPr lang="en-US">
            <a:effectLst/>
            <a:latin typeface="Cambria" panose="02040503050406030204" pitchFamily="18" charset="0"/>
            <a:ea typeface="Cambria" panose="02040503050406030204" pitchFamily="18" charset="0"/>
          </a:endParaRPr>
        </a:p>
        <a:p>
          <a:pPr eaLnBrk="1" fontAlgn="auto" latinLnBrk="0" hangingPunct="1"/>
          <a:r>
            <a:rPr lang="en-US" sz="1100" baseline="0">
              <a:solidFill>
                <a:schemeClr val="dk1"/>
              </a:solidFill>
              <a:effectLst/>
              <a:latin typeface="Cambria" panose="02040503050406030204" pitchFamily="18" charset="0"/>
              <a:ea typeface="Cambria" panose="02040503050406030204" pitchFamily="18" charset="0"/>
              <a:cs typeface="+mn-cs"/>
            </a:rPr>
            <a:t>9) Short Period Spectral Response Parameter, </a:t>
          </a:r>
          <a:r>
            <a:rPr lang="en-US" sz="1100" i="1" baseline="0">
              <a:solidFill>
                <a:schemeClr val="dk1"/>
              </a:solidFill>
              <a:effectLst/>
              <a:latin typeface="Cambria" panose="02040503050406030204" pitchFamily="18" charset="0"/>
              <a:ea typeface="Cambria" panose="02040503050406030204" pitchFamily="18" charset="0"/>
              <a:cs typeface="+mn-cs"/>
            </a:rPr>
            <a:t>S</a:t>
          </a:r>
          <a:r>
            <a:rPr lang="en-US" sz="1100" i="1" baseline="-25000">
              <a:solidFill>
                <a:schemeClr val="dk1"/>
              </a:solidFill>
              <a:effectLst/>
              <a:latin typeface="Cambria" panose="02040503050406030204" pitchFamily="18" charset="0"/>
              <a:ea typeface="Cambria" panose="02040503050406030204" pitchFamily="18" charset="0"/>
              <a:cs typeface="+mn-cs"/>
            </a:rPr>
            <a:t>MS</a:t>
          </a:r>
          <a:r>
            <a:rPr lang="en-US" sz="1100" baseline="0">
              <a:solidFill>
                <a:schemeClr val="dk1"/>
              </a:solidFill>
              <a:effectLst/>
              <a:latin typeface="Cambria" panose="02040503050406030204" pitchFamily="18" charset="0"/>
              <a:ea typeface="Cambria" panose="02040503050406030204" pitchFamily="18" charset="0"/>
              <a:cs typeface="+mn-cs"/>
            </a:rPr>
            <a:t> - Determined using </a:t>
          </a:r>
          <a:r>
            <a:rPr lang="en-US" sz="1100" b="0" i="0" baseline="0">
              <a:solidFill>
                <a:schemeClr val="dk1"/>
              </a:solidFill>
              <a:effectLst/>
              <a:latin typeface="Cambria" panose="02040503050406030204" pitchFamily="18" charset="0"/>
              <a:ea typeface="Cambria" panose="02040503050406030204" pitchFamily="18" charset="0"/>
              <a:cs typeface="+mn-cs"/>
            </a:rPr>
            <a:t>the online ASCE Hazard Tool: https://ascehazardtool.org/ for the project location, building risk category, and site soil classification.</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10) Importance Factor, </a:t>
          </a:r>
          <a:r>
            <a:rPr lang="en-US" sz="1100" i="1" baseline="0">
              <a:solidFill>
                <a:schemeClr val="dk1"/>
              </a:solidFill>
              <a:effectLst/>
              <a:latin typeface="Cambria" panose="02040503050406030204" pitchFamily="18" charset="0"/>
              <a:ea typeface="Cambria" panose="02040503050406030204" pitchFamily="18" charset="0"/>
              <a:cs typeface="+mn-cs"/>
            </a:rPr>
            <a:t>I</a:t>
          </a:r>
          <a:r>
            <a:rPr lang="en-US" sz="1100" i="1" baseline="-25000">
              <a:solidFill>
                <a:schemeClr val="dk1"/>
              </a:solidFill>
              <a:effectLst/>
              <a:latin typeface="Cambria" panose="02040503050406030204" pitchFamily="18" charset="0"/>
              <a:ea typeface="Cambria" panose="02040503050406030204" pitchFamily="18" charset="0"/>
              <a:cs typeface="+mn-cs"/>
            </a:rPr>
            <a:t>p</a:t>
          </a:r>
          <a:r>
            <a:rPr lang="en-US" sz="1100" baseline="0">
              <a:solidFill>
                <a:schemeClr val="dk1"/>
              </a:solidFill>
              <a:effectLst/>
              <a:latin typeface="Cambria" panose="02040503050406030204" pitchFamily="18" charset="0"/>
              <a:ea typeface="Cambria" panose="02040503050406030204" pitchFamily="18" charset="0"/>
              <a:cs typeface="+mn-cs"/>
            </a:rPr>
            <a:t> - Determined in accordance with ASCE/SEI 7 Section 13.1.3. Partitions that provide a life-safety function to the structure, such as for fire protection or egress are assigned an importance factor of 1.5 as are partitions in buildings assigned to Risk Category IV structures. All other partitions are assigned an importance factor of 1.0.</a:t>
          </a:r>
          <a:endParaRPr lang="en-US">
            <a:effectLst/>
            <a:latin typeface="Cambria" panose="02040503050406030204" pitchFamily="18" charset="0"/>
            <a:ea typeface="Cambria" panose="02040503050406030204" pitchFamily="18" charset="0"/>
          </a:endParaRPr>
        </a:p>
        <a:p>
          <a:pPr eaLnBrk="1" fontAlgn="auto" latinLnBrk="0" hangingPunct="1"/>
          <a:r>
            <a:rPr lang="en-US" sz="1100" baseline="0">
              <a:solidFill>
                <a:schemeClr val="dk1"/>
              </a:solidFill>
              <a:effectLst/>
              <a:latin typeface="Cambria" panose="02040503050406030204" pitchFamily="18" charset="0"/>
              <a:ea typeface="Cambria" panose="02040503050406030204" pitchFamily="18" charset="0"/>
              <a:cs typeface="+mn-cs"/>
            </a:rPr>
            <a:t>11) Seismic Design Category - A structure's seismic classification based on the risk category and severity of the earthquake ground motion. Determined using </a:t>
          </a:r>
          <a:r>
            <a:rPr lang="en-US" sz="1100" b="0" i="0" baseline="0">
              <a:solidFill>
                <a:schemeClr val="dk1"/>
              </a:solidFill>
              <a:effectLst/>
              <a:latin typeface="Cambria" panose="02040503050406030204" pitchFamily="18" charset="0"/>
              <a:ea typeface="Cambria" panose="02040503050406030204" pitchFamily="18" charset="0"/>
              <a:cs typeface="+mn-cs"/>
            </a:rPr>
            <a:t>the online ASCE Hazard Tool: https://ascehazardtool.org/. </a:t>
          </a:r>
          <a:r>
            <a:rPr lang="en-US" sz="1100" baseline="0">
              <a:solidFill>
                <a:schemeClr val="dk1"/>
              </a:solidFill>
              <a:effectLst/>
              <a:latin typeface="Cambria" panose="02040503050406030204" pitchFamily="18" charset="0"/>
              <a:ea typeface="Cambria" panose="02040503050406030204" pitchFamily="18" charset="0"/>
              <a:cs typeface="+mn-cs"/>
            </a:rPr>
            <a:t>Per ASCE 7-22 Table 13.3-1, partitions in buildings assigned to SDC A and B are exempt from seismic loading. Minimum prescriptive reinforcement is required by TMS 402 for partitions assigned to SDC C or higher. These requirements are checked and applied based on the user-defined Seismic Design Category.</a:t>
          </a:r>
          <a:endParaRPr lang="en-US">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12) Location of Partition Above Grade (ft) - Location of partition within the building above grade used to calculate seismic amplification effects.</a:t>
          </a:r>
        </a:p>
        <a:p>
          <a:endParaRPr lang="en-US" sz="1100" baseline="0">
            <a:solidFill>
              <a:schemeClr val="dk1"/>
            </a:solidFill>
            <a:effectLst/>
            <a:latin typeface="Cambria" panose="02040503050406030204" pitchFamily="18" charset="0"/>
            <a:ea typeface="Cambria" panose="02040503050406030204" pitchFamily="18" charset="0"/>
            <a:cs typeface="+mn-cs"/>
          </a:endParaRPr>
        </a:p>
        <a:p>
          <a:r>
            <a:rPr lang="en-US" sz="1100" u="sng" baseline="0">
              <a:solidFill>
                <a:schemeClr val="dk1"/>
              </a:solidFill>
              <a:effectLst/>
              <a:latin typeface="Cambria" panose="02040503050406030204" pitchFamily="18" charset="0"/>
              <a:ea typeface="Cambria" panose="02040503050406030204" pitchFamily="18" charset="0"/>
              <a:cs typeface="+mn-cs"/>
            </a:rPr>
            <a:t>Sheet Protection</a:t>
          </a:r>
        </a:p>
        <a:p>
          <a:r>
            <a:rPr lang="en-US">
              <a:effectLst/>
              <a:latin typeface="Cambria" panose="02040503050406030204" pitchFamily="18" charset="0"/>
              <a:ea typeface="Cambria" panose="02040503050406030204" pitchFamily="18" charset="0"/>
            </a:rPr>
            <a:t>While all calculations are shown for transparency, some cells in this calculator are protected to prevent unintentional editting. Where editing is desired, this protection can be removed using the passwork "bloxrox".</a:t>
          </a:r>
        </a:p>
      </xdr:txBody>
    </xdr:sp>
    <xdr:clientData/>
  </xdr:oneCellAnchor>
  <xdr:twoCellAnchor editAs="oneCell">
    <xdr:from>
      <xdr:col>0</xdr:col>
      <xdr:colOff>107950</xdr:colOff>
      <xdr:row>0</xdr:row>
      <xdr:rowOff>0</xdr:rowOff>
    </xdr:from>
    <xdr:to>
      <xdr:col>3</xdr:col>
      <xdr:colOff>439399</xdr:colOff>
      <xdr:row>8</xdr:row>
      <xdr:rowOff>38100</xdr:rowOff>
    </xdr:to>
    <xdr:pic>
      <xdr:nvPicPr>
        <xdr:cNvPr id="4" name="Picture 3">
          <a:extLst>
            <a:ext uri="{FF2B5EF4-FFF2-40B4-BE49-F238E27FC236}">
              <a16:creationId xmlns:a16="http://schemas.microsoft.com/office/drawing/2014/main" id="{4DB8C2CB-15ED-43FE-B6F2-E6D04B72B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 y="0"/>
          <a:ext cx="2160249" cy="146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15</xdr:col>
      <xdr:colOff>16131</xdr:colOff>
      <xdr:row>6</xdr:row>
      <xdr:rowOff>180520</xdr:rowOff>
    </xdr:to>
    <xdr:pic>
      <xdr:nvPicPr>
        <xdr:cNvPr id="4" name="Picture 3">
          <a:extLst>
            <a:ext uri="{FF2B5EF4-FFF2-40B4-BE49-F238E27FC236}">
              <a16:creationId xmlns:a16="http://schemas.microsoft.com/office/drawing/2014/main" id="{9BF36C29-22E8-4944-9648-39B1FEE45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8850" y="0"/>
          <a:ext cx="1844931" cy="1272720"/>
        </a:xfrm>
        <a:prstGeom prst="rect">
          <a:avLst/>
        </a:prstGeom>
      </xdr:spPr>
    </xdr:pic>
    <xdr:clientData/>
  </xdr:twoCellAnchor>
  <xdr:twoCellAnchor editAs="oneCell">
    <xdr:from>
      <xdr:col>12</xdr:col>
      <xdr:colOff>25693</xdr:colOff>
      <xdr:row>43</xdr:row>
      <xdr:rowOff>25400</xdr:rowOff>
    </xdr:from>
    <xdr:to>
      <xdr:col>22</xdr:col>
      <xdr:colOff>620184</xdr:colOff>
      <xdr:row>60</xdr:row>
      <xdr:rowOff>74551</xdr:rowOff>
    </xdr:to>
    <xdr:pic>
      <xdr:nvPicPr>
        <xdr:cNvPr id="5" name="Picture 4">
          <a:extLst>
            <a:ext uri="{FF2B5EF4-FFF2-40B4-BE49-F238E27FC236}">
              <a16:creationId xmlns:a16="http://schemas.microsoft.com/office/drawing/2014/main" id="{33153AB7-54F3-9B8E-87A3-4F464CE3EA60}"/>
            </a:ext>
          </a:extLst>
        </xdr:cNvPr>
        <xdr:cNvPicPr>
          <a:picLocks noChangeAspect="1"/>
        </xdr:cNvPicPr>
      </xdr:nvPicPr>
      <xdr:blipFill>
        <a:blip xmlns:r="http://schemas.openxmlformats.org/officeDocument/2006/relationships" r:embed="rId2"/>
        <a:stretch>
          <a:fillRect/>
        </a:stretch>
      </xdr:blipFill>
      <xdr:spPr>
        <a:xfrm>
          <a:off x="8864893" y="8496300"/>
          <a:ext cx="6690491" cy="3179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18</xdr:col>
      <xdr:colOff>285749</xdr:colOff>
      <xdr:row>111</xdr:row>
      <xdr:rowOff>147638</xdr:rowOff>
    </xdr:from>
    <xdr:ext cx="4688143" cy="65723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5DDABA8-EEE6-451B-81CA-136779D58D19}"/>
                </a:ext>
              </a:extLst>
            </xdr:cNvPr>
            <xdr:cNvSpPr txBox="1"/>
          </xdr:nvSpPr>
          <xdr:spPr>
            <a:xfrm>
              <a:off x="13582649" y="22067838"/>
              <a:ext cx="4688143" cy="65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𝐴</m:t>
                        </m:r>
                      </m:e>
                      <m:sub>
                        <m:r>
                          <a:rPr lang="en-US" sz="1100" b="0" i="1">
                            <a:latin typeface="Cambria Math" panose="02040503050406030204" pitchFamily="18" charset="0"/>
                          </a:rPr>
                          <m:t>𝑠𝑟𝑒𝑞</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solidFill>
                              <a:schemeClr val="tx1"/>
                            </a:solidFill>
                            <a:effectLst/>
                            <a:latin typeface="Cambria Math" panose="02040503050406030204" pitchFamily="18" charset="0"/>
                            <a:ea typeface="+mn-ea"/>
                            <a:cs typeface="+mn-cs"/>
                          </a:rPr>
                          <m:t>−</m:t>
                        </m:r>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𝑑</m:t>
                                    </m:r>
                                  </m:e>
                                  <m:sub>
                                    <m:r>
                                      <a:rPr lang="en-US" sz="1100" b="0" i="1">
                                        <a:solidFill>
                                          <a:schemeClr val="tx1"/>
                                        </a:solidFill>
                                        <a:effectLst/>
                                        <a:latin typeface="Cambria Math" panose="02040503050406030204" pitchFamily="18" charset="0"/>
                                        <a:ea typeface="+mn-ea"/>
                                        <a:cs typeface="+mn-cs"/>
                                      </a:rPr>
                                      <m:t>𝑉𝑅</m:t>
                                    </m:r>
                                  </m:sub>
                                </m:sSub>
                                <m:r>
                                  <a:rPr lang="en-US" sz="1100" b="0" i="1">
                                    <a:solidFill>
                                      <a:schemeClr val="tx1"/>
                                    </a:solidFill>
                                    <a:effectLst/>
                                    <a:latin typeface="Cambria Math" panose="02040503050406030204" pitchFamily="18" charset="0"/>
                                    <a:ea typeface="+mn-ea"/>
                                    <a:cs typeface="+mn-cs"/>
                                  </a:rPr>
                                  <m:t>𝑄</m:t>
                                </m:r>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𝑓</m:t>
                                    </m:r>
                                  </m:e>
                                  <m:sub>
                                    <m:r>
                                      <a:rPr lang="en-US" sz="1100" b="0" i="1">
                                        <a:solidFill>
                                          <a:schemeClr val="tx1"/>
                                        </a:solidFill>
                                        <a:effectLst/>
                                        <a:latin typeface="Cambria Math" panose="02040503050406030204" pitchFamily="18" charset="0"/>
                                        <a:ea typeface="+mn-ea"/>
                                        <a:cs typeface="+mn-cs"/>
                                      </a:rPr>
                                      <m:t>𝑦</m:t>
                                    </m:r>
                                  </m:sub>
                                </m:sSub>
                              </m:den>
                            </m:f>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2</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𝑃</m:t>
                                    </m:r>
                                  </m:e>
                                  <m:sub>
                                    <m:r>
                                      <a:rPr lang="en-US" sz="1100" b="0" i="1">
                                        <a:solidFill>
                                          <a:schemeClr val="tx1"/>
                                        </a:solidFill>
                                        <a:effectLst/>
                                        <a:latin typeface="Cambria Math" panose="02040503050406030204" pitchFamily="18" charset="0"/>
                                        <a:ea typeface="+mn-ea"/>
                                        <a:cs typeface="+mn-cs"/>
                                      </a:rPr>
                                      <m:t>𝑢</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𝑓</m:t>
                                    </m:r>
                                  </m:e>
                                  <m:sub>
                                    <m:r>
                                      <a:rPr lang="en-US" sz="1100" b="0" i="1">
                                        <a:solidFill>
                                          <a:schemeClr val="tx1"/>
                                        </a:solidFill>
                                        <a:effectLst/>
                                        <a:latin typeface="Cambria Math" panose="02040503050406030204" pitchFamily="18" charset="0"/>
                                        <a:ea typeface="+mn-ea"/>
                                        <a:cs typeface="+mn-cs"/>
                                      </a:rPr>
                                      <m:t>𝑦</m:t>
                                    </m:r>
                                  </m:sub>
                                </m:sSub>
                              </m:den>
                            </m:f>
                          </m:e>
                        </m:d>
                        <m:r>
                          <a:rPr lang="en-US" sz="1100" b="0" i="1">
                            <a:solidFill>
                              <a:schemeClr val="tx1"/>
                            </a:solidFill>
                            <a:effectLst/>
                            <a:latin typeface="Cambria Math" panose="02040503050406030204" pitchFamily="18" charset="0"/>
                            <a:ea typeface="+mn-ea"/>
                            <a:cs typeface="+mn-cs"/>
                          </a:rPr>
                          <m:t>−</m:t>
                        </m:r>
                        <m:rad>
                          <m:radPr>
                            <m:degHide m:val="on"/>
                            <m:ctrlPr>
                              <a:rPr lang="en-US" sz="1100" b="0" i="1">
                                <a:solidFill>
                                  <a:schemeClr val="tx1"/>
                                </a:solidFill>
                                <a:effectLst/>
                                <a:latin typeface="Cambria Math" panose="02040503050406030204" pitchFamily="18" charset="0"/>
                                <a:ea typeface="+mn-ea"/>
                                <a:cs typeface="+mn-cs"/>
                              </a:rPr>
                            </m:ctrlPr>
                          </m:radPr>
                          <m:deg/>
                          <m:e>
                            <m:sSup>
                              <m:sSupPr>
                                <m:ctrlPr>
                                  <a:rPr lang="en-US" sz="1100" b="0" i="1">
                                    <a:solidFill>
                                      <a:schemeClr val="tx1"/>
                                    </a:solidFill>
                                    <a:effectLst/>
                                    <a:latin typeface="Cambria Math" panose="02040503050406030204" pitchFamily="18" charset="0"/>
                                    <a:ea typeface="+mn-ea"/>
                                    <a:cs typeface="+mn-cs"/>
                                  </a:rPr>
                                </m:ctrlPr>
                              </m:sSupPr>
                              <m:e>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𝑑</m:t>
                                            </m:r>
                                          </m:e>
                                          <m:sub>
                                            <m:r>
                                              <a:rPr lang="en-US" sz="1100" b="0" i="1">
                                                <a:solidFill>
                                                  <a:schemeClr val="tx1"/>
                                                </a:solidFill>
                                                <a:effectLst/>
                                                <a:latin typeface="Cambria Math" panose="02040503050406030204" pitchFamily="18" charset="0"/>
                                                <a:ea typeface="+mn-ea"/>
                                                <a:cs typeface="+mn-cs"/>
                                              </a:rPr>
                                              <m:t>𝑉𝑅</m:t>
                                            </m:r>
                                          </m:sub>
                                        </m:sSub>
                                        <m:r>
                                          <a:rPr lang="en-US" sz="1100" b="0" i="1">
                                            <a:solidFill>
                                              <a:schemeClr val="tx1"/>
                                            </a:solidFill>
                                            <a:effectLst/>
                                            <a:latin typeface="Cambria Math" panose="02040503050406030204" pitchFamily="18" charset="0"/>
                                            <a:ea typeface="+mn-ea"/>
                                            <a:cs typeface="+mn-cs"/>
                                          </a:rPr>
                                          <m:t>𝑄</m:t>
                                        </m:r>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𝑓</m:t>
                                            </m:r>
                                          </m:e>
                                          <m:sub>
                                            <m:r>
                                              <a:rPr lang="en-US" sz="1100" b="0" i="1">
                                                <a:solidFill>
                                                  <a:schemeClr val="tx1"/>
                                                </a:solidFill>
                                                <a:effectLst/>
                                                <a:latin typeface="Cambria Math" panose="02040503050406030204" pitchFamily="18" charset="0"/>
                                                <a:ea typeface="+mn-ea"/>
                                                <a:cs typeface="+mn-cs"/>
                                              </a:rPr>
                                              <m:t>𝑦</m:t>
                                            </m:r>
                                          </m:sub>
                                        </m:sSub>
                                      </m:den>
                                    </m:f>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2</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𝑃</m:t>
                                            </m:r>
                                          </m:e>
                                          <m:sub>
                                            <m:r>
                                              <a:rPr lang="en-US" sz="1100" b="0" i="1">
                                                <a:solidFill>
                                                  <a:schemeClr val="tx1"/>
                                                </a:solidFill>
                                                <a:effectLst/>
                                                <a:latin typeface="Cambria Math" panose="02040503050406030204" pitchFamily="18" charset="0"/>
                                                <a:ea typeface="+mn-ea"/>
                                                <a:cs typeface="+mn-cs"/>
                                              </a:rPr>
                                              <m:t>𝑢</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𝑓</m:t>
                                            </m:r>
                                          </m:e>
                                          <m:sub>
                                            <m:r>
                                              <a:rPr lang="en-US" sz="1100" b="0" i="1">
                                                <a:solidFill>
                                                  <a:schemeClr val="tx1"/>
                                                </a:solidFill>
                                                <a:effectLst/>
                                                <a:latin typeface="Cambria Math" panose="02040503050406030204" pitchFamily="18" charset="0"/>
                                                <a:ea typeface="+mn-ea"/>
                                                <a:cs typeface="+mn-cs"/>
                                              </a:rPr>
                                              <m:t>𝑦</m:t>
                                            </m:r>
                                          </m:sub>
                                        </m:sSub>
                                      </m:den>
                                    </m:f>
                                  </m:e>
                                </m:d>
                              </m:e>
                              <m:sup>
                                <m:r>
                                  <a:rPr lang="en-US" sz="1100" b="0" i="1">
                                    <a:solidFill>
                                      <a:schemeClr val="tx1"/>
                                    </a:solidFill>
                                    <a:effectLst/>
                                    <a:latin typeface="Cambria Math" panose="02040503050406030204" pitchFamily="18" charset="0"/>
                                    <a:ea typeface="+mn-ea"/>
                                    <a:cs typeface="+mn-cs"/>
                                  </a:rPr>
                                  <m:t>2</m:t>
                                </m:r>
                              </m:sup>
                            </m:sSup>
                            <m:r>
                              <a:rPr lang="en-US" sz="1100" b="0" i="1">
                                <a:solidFill>
                                  <a:schemeClr val="tx1"/>
                                </a:solidFill>
                                <a:effectLst/>
                                <a:latin typeface="Cambria Math" panose="02040503050406030204" pitchFamily="18" charset="0"/>
                                <a:ea typeface="+mn-ea"/>
                                <a:cs typeface="+mn-cs"/>
                              </a:rPr>
                              <m:t>−4</m:t>
                            </m:r>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𝑃</m:t>
                                        </m:r>
                                      </m:e>
                                      <m:sub>
                                        <m:r>
                                          <a:rPr lang="en-US" sz="1100" b="0" i="1">
                                            <a:solidFill>
                                              <a:schemeClr val="tx1"/>
                                            </a:solidFill>
                                            <a:effectLst/>
                                            <a:latin typeface="Cambria Math" panose="02040503050406030204" pitchFamily="18" charset="0"/>
                                            <a:ea typeface="+mn-ea"/>
                                            <a:cs typeface="+mn-cs"/>
                                          </a:rPr>
                                          <m:t>𝑢</m:t>
                                        </m:r>
                                      </m:sub>
                                    </m:sSub>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𝑑</m:t>
                                        </m:r>
                                      </m:e>
                                      <m:sub>
                                        <m:r>
                                          <a:rPr lang="en-US" sz="1100" b="0" i="1">
                                            <a:solidFill>
                                              <a:schemeClr val="tx1"/>
                                            </a:solidFill>
                                            <a:effectLst/>
                                            <a:latin typeface="Cambria Math" panose="02040503050406030204" pitchFamily="18" charset="0"/>
                                            <a:ea typeface="+mn-ea"/>
                                            <a:cs typeface="+mn-cs"/>
                                          </a:rPr>
                                          <m:t>𝑉𝑅</m:t>
                                        </m:r>
                                      </m:sub>
                                    </m:sSub>
                                    <m:r>
                                      <a:rPr lang="en-US" sz="1100" b="0" i="1">
                                        <a:solidFill>
                                          <a:schemeClr val="tx1"/>
                                        </a:solidFill>
                                        <a:effectLst/>
                                        <a:latin typeface="Cambria Math" panose="02040503050406030204" pitchFamily="18" charset="0"/>
                                        <a:ea typeface="+mn-ea"/>
                                        <a:cs typeface="+mn-cs"/>
                                      </a:rPr>
                                      <m:t>𝑄</m:t>
                                    </m:r>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𝑢</m:t>
                                        </m:r>
                                      </m:sub>
                                    </m:sSub>
                                    <m:r>
                                      <a:rPr lang="en-US" sz="1100" b="0" i="1">
                                        <a:solidFill>
                                          <a:schemeClr val="tx1"/>
                                        </a:solidFill>
                                        <a:effectLst/>
                                        <a:latin typeface="Cambria Math" panose="02040503050406030204" pitchFamily="18" charset="0"/>
                                        <a:ea typeface="+mn-ea"/>
                                        <a:cs typeface="+mn-cs"/>
                                      </a:rPr>
                                      <m:t>𝑄</m:t>
                                    </m:r>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𝑃</m:t>
                                        </m:r>
                                      </m:e>
                                      <m:sub>
                                        <m:r>
                                          <a:rPr lang="en-US" sz="1100" b="0" i="1">
                                            <a:solidFill>
                                              <a:schemeClr val="tx1"/>
                                            </a:solidFill>
                                            <a:effectLst/>
                                            <a:latin typeface="Cambria Math" panose="02040503050406030204" pitchFamily="18" charset="0"/>
                                            <a:ea typeface="+mn-ea"/>
                                            <a:cs typeface="+mn-cs"/>
                                          </a:rPr>
                                          <m:t>𝑢</m:t>
                                        </m:r>
                                      </m:sub>
                                    </m:sSub>
                                  </m:num>
                                  <m:den>
                                    <m:sSubSup>
                                      <m:sSubSupPr>
                                        <m:ctrlPr>
                                          <a:rPr lang="en-US" sz="1100" b="0" i="1">
                                            <a:solidFill>
                                              <a:schemeClr val="tx1"/>
                                            </a:solidFill>
                                            <a:effectLst/>
                                            <a:latin typeface="Cambria Math" panose="02040503050406030204" pitchFamily="18" charset="0"/>
                                            <a:ea typeface="+mn-ea"/>
                                            <a:cs typeface="+mn-cs"/>
                                          </a:rPr>
                                        </m:ctrlPr>
                                      </m:sSubSupPr>
                                      <m:e>
                                        <m:r>
                                          <a:rPr lang="en-US" sz="1100" b="0" i="1">
                                            <a:solidFill>
                                              <a:schemeClr val="tx1"/>
                                            </a:solidFill>
                                            <a:effectLst/>
                                            <a:latin typeface="Cambria Math" panose="02040503050406030204" pitchFamily="18" charset="0"/>
                                            <a:ea typeface="+mn-ea"/>
                                            <a:cs typeface="+mn-cs"/>
                                          </a:rPr>
                                          <m:t>𝑓</m:t>
                                        </m:r>
                                      </m:e>
                                      <m:sub>
                                        <m:r>
                                          <a:rPr lang="en-US" sz="1100" b="0" i="1">
                                            <a:solidFill>
                                              <a:schemeClr val="tx1"/>
                                            </a:solidFill>
                                            <a:effectLst/>
                                            <a:latin typeface="Cambria Math" panose="02040503050406030204" pitchFamily="18" charset="0"/>
                                            <a:ea typeface="+mn-ea"/>
                                            <a:cs typeface="+mn-cs"/>
                                          </a:rPr>
                                          <m:t>𝑦</m:t>
                                        </m:r>
                                      </m:sub>
                                      <m:sup>
                                        <m:r>
                                          <a:rPr lang="en-US" sz="1100" b="0" i="1">
                                            <a:solidFill>
                                              <a:schemeClr val="tx1"/>
                                            </a:solidFill>
                                            <a:effectLst/>
                                            <a:latin typeface="Cambria Math" panose="02040503050406030204" pitchFamily="18" charset="0"/>
                                            <a:ea typeface="+mn-ea"/>
                                            <a:cs typeface="+mn-cs"/>
                                          </a:rPr>
                                          <m:t>2</m:t>
                                        </m:r>
                                      </m:sup>
                                    </m:sSubSup>
                                  </m:den>
                                </m:f>
                              </m:e>
                            </m:d>
                          </m:e>
                        </m:rad>
                      </m:num>
                      <m:den>
                        <m:r>
                          <a:rPr lang="en-US" sz="1100" b="0" i="1">
                            <a:latin typeface="Cambria Math" panose="02040503050406030204" pitchFamily="18" charset="0"/>
                          </a:rPr>
                          <m:t>2</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F5DDABA8-EEE6-451B-81CA-136779D58D19}"/>
                </a:ext>
              </a:extLst>
            </xdr:cNvPr>
            <xdr:cNvSpPr txBox="1"/>
          </xdr:nvSpPr>
          <xdr:spPr>
            <a:xfrm>
              <a:off x="13582649" y="22067838"/>
              <a:ext cx="4688143" cy="65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𝐴_𝑠𝑟𝑒𝑞=(</a:t>
              </a:r>
              <a:r>
                <a:rPr lang="en-US" sz="1100" b="0" i="0">
                  <a:solidFill>
                    <a:schemeClr val="tx1"/>
                  </a:solidFill>
                  <a:effectLst/>
                  <a:latin typeface="Cambria Math" panose="02040503050406030204" pitchFamily="18" charset="0"/>
                  <a:ea typeface="+mn-ea"/>
                  <a:cs typeface="+mn-cs"/>
                </a:rPr>
                <a:t>−((−𝑑_𝑉𝑅 𝑄)/𝑓_𝑦 +(2𝑃_𝑢)/𝑓_𝑦 )−√(((−𝑑_𝑉𝑅 𝑄)/𝑓_𝑦 +(2</a:t>
              </a:r>
              <a:r>
                <a:rPr lang="en-US" sz="1100" b="0" i="0">
                  <a:solidFill>
                    <a:schemeClr val="tx1"/>
                  </a:solidFill>
                  <a:effectLst/>
                  <a:latin typeface="+mn-lt"/>
                  <a:ea typeface="+mn-ea"/>
                  <a:cs typeface="+mn-cs"/>
                </a:rPr>
                <a:t>𝑃_𝑢</a:t>
              </a:r>
              <a:r>
                <a:rPr lang="en-US" sz="1100" b="0" i="0">
                  <a:solidFill>
                    <a:schemeClr val="tx1"/>
                  </a:solidFill>
                  <a:effectLst/>
                  <a:latin typeface="Cambria Math" panose="02040503050406030204" pitchFamily="18" charset="0"/>
                  <a:ea typeface="+mn-ea"/>
                  <a:cs typeface="+mn-cs"/>
                </a:rPr>
                <a:t>)/𝑓_𝑦 )^2−4((−</a:t>
              </a:r>
              <a:r>
                <a:rPr lang="en-US" sz="1100" b="0" i="0">
                  <a:solidFill>
                    <a:schemeClr val="tx1"/>
                  </a:solidFill>
                  <a:effectLst/>
                  <a:latin typeface="+mn-lt"/>
                  <a:ea typeface="+mn-ea"/>
                  <a:cs typeface="+mn-cs"/>
                </a:rPr>
                <a:t>𝑃_𝑢</a:t>
              </a:r>
              <a:r>
                <a:rPr lang="en-US" sz="1100" b="0" i="0">
                  <a:solidFill>
                    <a:schemeClr val="tx1"/>
                  </a:solidFill>
                  <a:effectLst/>
                  <a:latin typeface="Cambria Math" panose="02040503050406030204" pitchFamily="18" charset="0"/>
                  <a:ea typeface="+mn-ea"/>
                  <a:cs typeface="+mn-cs"/>
                </a:rPr>
                <a:t> 𝑑_𝑉𝑅 𝑄+𝑀_𝑢 𝑄+</a:t>
              </a:r>
              <a:r>
                <a:rPr lang="en-US" sz="1100" b="0" i="0">
                  <a:solidFill>
                    <a:schemeClr val="tx1"/>
                  </a:solidFill>
                  <a:effectLst/>
                  <a:latin typeface="+mn-lt"/>
                  <a:ea typeface="+mn-ea"/>
                  <a:cs typeface="+mn-cs"/>
                </a:rPr>
                <a:t>𝑃_𝑢</a:t>
              </a:r>
              <a:r>
                <a:rPr lang="en-US" sz="1100" b="0" i="0">
                  <a:solidFill>
                    <a:schemeClr val="tx1"/>
                  </a:solidFill>
                  <a:effectLst/>
                  <a:latin typeface="Cambria Math" panose="02040503050406030204" pitchFamily="18" charset="0"/>
                  <a:ea typeface="+mn-ea"/>
                  <a:cs typeface="+mn-cs"/>
                </a:rPr>
                <a:t>)/(𝑓_𝑦^2 )) ))/</a:t>
              </a:r>
              <a:r>
                <a:rPr lang="en-US" sz="1100" b="0" i="0">
                  <a:latin typeface="Cambria Math" panose="02040503050406030204" pitchFamily="18" charset="0"/>
                </a:rPr>
                <a:t>2</a:t>
              </a:r>
              <a:endParaRPr lang="en-US" sz="1100"/>
            </a:p>
          </xdr:txBody>
        </xdr:sp>
      </mc:Fallback>
    </mc:AlternateContent>
    <xdr:clientData/>
  </xdr:oneCellAnchor>
  <xdr:oneCellAnchor>
    <xdr:from>
      <xdr:col>6</xdr:col>
      <xdr:colOff>762000</xdr:colOff>
      <xdr:row>3</xdr:row>
      <xdr:rowOff>165100</xdr:rowOff>
    </xdr:from>
    <xdr:ext cx="4686300" cy="2076722"/>
    <xdr:sp macro="" textlink="">
      <xdr:nvSpPr>
        <xdr:cNvPr id="5" name="TextBox 4">
          <a:extLst>
            <a:ext uri="{FF2B5EF4-FFF2-40B4-BE49-F238E27FC236}">
              <a16:creationId xmlns:a16="http://schemas.microsoft.com/office/drawing/2014/main" id="{4E0E965F-9AC4-C8AC-019E-8CBAADE45D08}"/>
            </a:ext>
          </a:extLst>
        </xdr:cNvPr>
        <xdr:cNvSpPr txBox="1"/>
      </xdr:nvSpPr>
      <xdr:spPr>
        <a:xfrm>
          <a:off x="4800600" y="730250"/>
          <a:ext cx="4686300" cy="2076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eaLnBrk="1" fontAlgn="auto" latinLnBrk="0" hangingPunct="1"/>
          <a:r>
            <a:rPr lang="en-US" sz="1100" u="sng">
              <a:latin typeface="Cambria" panose="02040503050406030204" pitchFamily="18" charset="0"/>
              <a:ea typeface="Cambria" panose="02040503050406030204" pitchFamily="18" charset="0"/>
            </a:rPr>
            <a:t>Wind Loading Modeling Criteria and Assumptions</a:t>
          </a:r>
        </a:p>
        <a:p>
          <a:pPr eaLnBrk="1" fontAlgn="auto" latinLnBrk="0" hangingPunct="1"/>
          <a:r>
            <a:rPr lang="en-US" sz="1100">
              <a:latin typeface="Cambria" panose="02040503050406030204" pitchFamily="18" charset="0"/>
              <a:ea typeface="Cambria" panose="02040503050406030204" pitchFamily="18" charset="0"/>
            </a:rPr>
            <a:t>1) Internal out-of-plane design wind pressures are determined in</a:t>
          </a:r>
          <a:r>
            <a:rPr lang="en-US" sz="1100" baseline="0">
              <a:latin typeface="Cambria" panose="02040503050406030204" pitchFamily="18" charset="0"/>
              <a:ea typeface="Cambria" panose="02040503050406030204" pitchFamily="18" charset="0"/>
            </a:rPr>
            <a:t> accordance with the envelope procedure of Chapter 28 of ASCE/SEI 7-22. </a:t>
          </a:r>
          <a:r>
            <a:rPr lang="en-US" sz="1100" baseline="0">
              <a:solidFill>
                <a:schemeClr val="dk1"/>
              </a:solidFill>
              <a:effectLst/>
              <a:latin typeface="Cambria" panose="02040503050406030204" pitchFamily="18" charset="0"/>
              <a:ea typeface="Cambria" panose="02040503050406030204" pitchFamily="18" charset="0"/>
              <a:cs typeface="+mn-cs"/>
            </a:rPr>
            <a:t>No internal pressure reduction is considered for large volume buildings nor is internal pressure balancing. </a:t>
          </a:r>
        </a:p>
        <a:p>
          <a:pPr eaLnBrk="1" fontAlgn="auto" latinLnBrk="0" hangingPunct="1"/>
          <a:r>
            <a:rPr lang="en-US" sz="1100" baseline="0">
              <a:solidFill>
                <a:schemeClr val="dk1"/>
              </a:solidFill>
              <a:effectLst/>
              <a:latin typeface="Cambria" panose="02040503050406030204" pitchFamily="18" charset="0"/>
              <a:ea typeface="Cambria" panose="02040503050406030204" pitchFamily="18" charset="0"/>
              <a:cs typeface="+mn-cs"/>
            </a:rPr>
            <a:t>2) The internal pressure coefficients (</a:t>
          </a:r>
          <a:r>
            <a:rPr lang="en-US" sz="1100" i="1" baseline="0">
              <a:solidFill>
                <a:schemeClr val="dk1"/>
              </a:solidFill>
              <a:effectLst/>
              <a:latin typeface="Cambria" panose="02040503050406030204" pitchFamily="18" charset="0"/>
              <a:ea typeface="Cambria" panose="02040503050406030204" pitchFamily="18" charset="0"/>
              <a:cs typeface="+mn-cs"/>
            </a:rPr>
            <a:t>GC</a:t>
          </a:r>
          <a:r>
            <a:rPr lang="en-US" sz="1100" i="1" baseline="-25000">
              <a:solidFill>
                <a:schemeClr val="dk1"/>
              </a:solidFill>
              <a:effectLst/>
              <a:latin typeface="Cambria" panose="02040503050406030204" pitchFamily="18" charset="0"/>
              <a:ea typeface="Cambria" panose="02040503050406030204" pitchFamily="18" charset="0"/>
              <a:cs typeface="+mn-cs"/>
            </a:rPr>
            <a:t>pi</a:t>
          </a:r>
          <a:r>
            <a:rPr lang="en-US" sz="1100" baseline="0">
              <a:solidFill>
                <a:schemeClr val="dk1"/>
              </a:solidFill>
              <a:effectLst/>
              <a:latin typeface="Cambria" panose="02040503050406030204" pitchFamily="18" charset="0"/>
              <a:ea typeface="Cambria" panose="02040503050406030204" pitchFamily="18" charset="0"/>
              <a:cs typeface="+mn-cs"/>
            </a:rPr>
            <a:t>) per ASCE 7-22 Table 26.13-1 are as follows:</a:t>
          </a:r>
          <a:endParaRPr lang="en-US">
            <a:effectLst/>
            <a:latin typeface="Cambria" panose="02040503050406030204" pitchFamily="18" charset="0"/>
            <a:ea typeface="Cambria" panose="02040503050406030204" pitchFamily="18" charset="0"/>
          </a:endParaRPr>
        </a:p>
        <a:p>
          <a:pPr eaLnBrk="1" fontAlgn="auto" latinLnBrk="0" hangingPunct="1"/>
          <a:r>
            <a:rPr lang="en-US" sz="1100" baseline="0">
              <a:solidFill>
                <a:schemeClr val="dk1"/>
              </a:solidFill>
              <a:effectLst/>
              <a:latin typeface="Cambria" panose="02040503050406030204" pitchFamily="18" charset="0"/>
              <a:ea typeface="Cambria" panose="02040503050406030204" pitchFamily="18" charset="0"/>
              <a:cs typeface="+mn-cs"/>
            </a:rPr>
            <a:t>     Enclosed and Partially Open Buildings: </a:t>
          </a:r>
          <a:r>
            <a:rPr lang="en-US" sz="1100" i="1" baseline="0">
              <a:solidFill>
                <a:schemeClr val="dk1"/>
              </a:solidFill>
              <a:effectLst/>
              <a:latin typeface="Cambria" panose="02040503050406030204" pitchFamily="18" charset="0"/>
              <a:ea typeface="Cambria" panose="02040503050406030204" pitchFamily="18" charset="0"/>
              <a:cs typeface="+mn-cs"/>
            </a:rPr>
            <a:t>GC</a:t>
          </a:r>
          <a:r>
            <a:rPr lang="en-US" sz="1100" i="1" baseline="-25000">
              <a:solidFill>
                <a:schemeClr val="dk1"/>
              </a:solidFill>
              <a:effectLst/>
              <a:latin typeface="Cambria" panose="02040503050406030204" pitchFamily="18" charset="0"/>
              <a:ea typeface="Cambria" panose="02040503050406030204" pitchFamily="18" charset="0"/>
              <a:cs typeface="+mn-cs"/>
            </a:rPr>
            <a:t>pi</a:t>
          </a:r>
          <a:r>
            <a:rPr lang="en-US" sz="1100" baseline="0">
              <a:solidFill>
                <a:schemeClr val="dk1"/>
              </a:solidFill>
              <a:effectLst/>
              <a:latin typeface="Cambria" panose="02040503050406030204" pitchFamily="18" charset="0"/>
              <a:ea typeface="Cambria" panose="02040503050406030204" pitchFamily="18" charset="0"/>
              <a:cs typeface="+mn-cs"/>
            </a:rPr>
            <a:t> = 0.18</a:t>
          </a:r>
          <a:endParaRPr lang="en-US">
            <a:effectLst/>
            <a:latin typeface="Cambria" panose="02040503050406030204" pitchFamily="18" charset="0"/>
            <a:ea typeface="Cambria" panose="02040503050406030204" pitchFamily="18" charset="0"/>
          </a:endParaRPr>
        </a:p>
        <a:p>
          <a:pPr eaLnBrk="1" fontAlgn="auto" latinLnBrk="0" hangingPunct="1"/>
          <a:r>
            <a:rPr lang="en-US" sz="1100" baseline="0">
              <a:solidFill>
                <a:schemeClr val="dk1"/>
              </a:solidFill>
              <a:effectLst/>
              <a:latin typeface="Cambria" panose="02040503050406030204" pitchFamily="18" charset="0"/>
              <a:ea typeface="Cambria" panose="02040503050406030204" pitchFamily="18" charset="0"/>
              <a:cs typeface="+mn-cs"/>
            </a:rPr>
            <a:t>     Partially Enclosed Buildings: </a:t>
          </a:r>
          <a:r>
            <a:rPr lang="en-US" sz="1100" i="1" baseline="0">
              <a:solidFill>
                <a:schemeClr val="dk1"/>
              </a:solidFill>
              <a:effectLst/>
              <a:latin typeface="Cambria" panose="02040503050406030204" pitchFamily="18" charset="0"/>
              <a:ea typeface="Cambria" panose="02040503050406030204" pitchFamily="18" charset="0"/>
              <a:cs typeface="+mn-cs"/>
            </a:rPr>
            <a:t>GC</a:t>
          </a:r>
          <a:r>
            <a:rPr lang="en-US" sz="1100" i="1" baseline="-25000">
              <a:solidFill>
                <a:schemeClr val="dk1"/>
              </a:solidFill>
              <a:effectLst/>
              <a:latin typeface="Cambria" panose="02040503050406030204" pitchFamily="18" charset="0"/>
              <a:ea typeface="Cambria" panose="02040503050406030204" pitchFamily="18" charset="0"/>
              <a:cs typeface="+mn-cs"/>
            </a:rPr>
            <a:t>pi</a:t>
          </a:r>
          <a:r>
            <a:rPr lang="en-US" sz="1100" baseline="0">
              <a:solidFill>
                <a:schemeClr val="dk1"/>
              </a:solidFill>
              <a:effectLst/>
              <a:latin typeface="Cambria" panose="02040503050406030204" pitchFamily="18" charset="0"/>
              <a:ea typeface="Cambria" panose="02040503050406030204" pitchFamily="18" charset="0"/>
              <a:cs typeface="+mn-cs"/>
            </a:rPr>
            <a:t> = 0.55</a:t>
          </a:r>
          <a:endParaRPr lang="en-US">
            <a:effectLst/>
            <a:latin typeface="Cambria" panose="02040503050406030204" pitchFamily="18" charset="0"/>
            <a:ea typeface="Cambria" panose="02040503050406030204" pitchFamily="18" charset="0"/>
          </a:endParaRPr>
        </a:p>
        <a:p>
          <a:r>
            <a:rPr lang="en-US" sz="1100">
              <a:latin typeface="Cambria" panose="02040503050406030204" pitchFamily="18" charset="0"/>
              <a:ea typeface="Cambria" panose="02040503050406030204" pitchFamily="18" charset="0"/>
            </a:rPr>
            <a:t>3) The MWFRS</a:t>
          </a:r>
          <a:r>
            <a:rPr lang="en-US" sz="1100" baseline="0">
              <a:latin typeface="Cambria" panose="02040503050406030204" pitchFamily="18" charset="0"/>
              <a:ea typeface="Cambria" panose="02040503050406030204" pitchFamily="18" charset="0"/>
            </a:rPr>
            <a:t> design wind pressure is calculated at an elevation above grade corresponding to the mean roof height of the building. This is slightly conservative for partitions located in lower stories of tall buildings. </a:t>
          </a:r>
          <a:endParaRPr lang="en-US" sz="1100">
            <a:latin typeface="Cambria" panose="02040503050406030204" pitchFamily="18" charset="0"/>
            <a:ea typeface="Cambria" panose="02040503050406030204" pitchFamily="18" charset="0"/>
          </a:endParaRPr>
        </a:p>
      </xdr:txBody>
    </xdr:sp>
    <xdr:clientData/>
  </xdr:oneCellAnchor>
  <xdr:twoCellAnchor editAs="oneCell">
    <xdr:from>
      <xdr:col>8</xdr:col>
      <xdr:colOff>336550</xdr:colOff>
      <xdr:row>29</xdr:row>
      <xdr:rowOff>158750</xdr:rowOff>
    </xdr:from>
    <xdr:to>
      <xdr:col>13</xdr:col>
      <xdr:colOff>103466</xdr:colOff>
      <xdr:row>32</xdr:row>
      <xdr:rowOff>114300</xdr:rowOff>
    </xdr:to>
    <xdr:pic>
      <xdr:nvPicPr>
        <xdr:cNvPr id="12" name="Picture 11">
          <a:extLst>
            <a:ext uri="{FF2B5EF4-FFF2-40B4-BE49-F238E27FC236}">
              <a16:creationId xmlns:a16="http://schemas.microsoft.com/office/drawing/2014/main" id="{AEEB9074-5623-097A-2540-A48ADA002980}"/>
            </a:ext>
          </a:extLst>
        </xdr:cNvPr>
        <xdr:cNvPicPr>
          <a:picLocks noChangeAspect="1"/>
        </xdr:cNvPicPr>
      </xdr:nvPicPr>
      <xdr:blipFill>
        <a:blip xmlns:r="http://schemas.openxmlformats.org/officeDocument/2006/relationships" r:embed="rId1"/>
        <a:stretch>
          <a:fillRect/>
        </a:stretch>
      </xdr:blipFill>
      <xdr:spPr>
        <a:xfrm>
          <a:off x="5835650" y="6076950"/>
          <a:ext cx="3127654" cy="539750"/>
        </a:xfrm>
        <a:prstGeom prst="rect">
          <a:avLst/>
        </a:prstGeom>
      </xdr:spPr>
    </xdr:pic>
    <xdr:clientData/>
  </xdr:twoCellAnchor>
  <xdr:twoCellAnchor editAs="oneCell">
    <xdr:from>
      <xdr:col>8</xdr:col>
      <xdr:colOff>654050</xdr:colOff>
      <xdr:row>15</xdr:row>
      <xdr:rowOff>19050</xdr:rowOff>
    </xdr:from>
    <xdr:to>
      <xdr:col>14</xdr:col>
      <xdr:colOff>144643</xdr:colOff>
      <xdr:row>16</xdr:row>
      <xdr:rowOff>169879</xdr:rowOff>
    </xdr:to>
    <xdr:pic>
      <xdr:nvPicPr>
        <xdr:cNvPr id="13" name="Picture 12">
          <a:extLst>
            <a:ext uri="{FF2B5EF4-FFF2-40B4-BE49-F238E27FC236}">
              <a16:creationId xmlns:a16="http://schemas.microsoft.com/office/drawing/2014/main" id="{99BBF936-2A4B-7D31-4A23-F301616D947B}"/>
            </a:ext>
          </a:extLst>
        </xdr:cNvPr>
        <xdr:cNvPicPr>
          <a:picLocks noChangeAspect="1"/>
        </xdr:cNvPicPr>
      </xdr:nvPicPr>
      <xdr:blipFill>
        <a:blip xmlns:r="http://schemas.openxmlformats.org/officeDocument/2006/relationships" r:embed="rId2"/>
        <a:stretch>
          <a:fillRect/>
        </a:stretch>
      </xdr:blipFill>
      <xdr:spPr>
        <a:xfrm>
          <a:off x="5410200" y="3048000"/>
          <a:ext cx="3524431" cy="330217"/>
        </a:xfrm>
        <a:prstGeom prst="rect">
          <a:avLst/>
        </a:prstGeom>
      </xdr:spPr>
    </xdr:pic>
    <xdr:clientData/>
  </xdr:twoCellAnchor>
  <xdr:twoCellAnchor editAs="oneCell">
    <xdr:from>
      <xdr:col>8</xdr:col>
      <xdr:colOff>641350</xdr:colOff>
      <xdr:row>17</xdr:row>
      <xdr:rowOff>31750</xdr:rowOff>
    </xdr:from>
    <xdr:to>
      <xdr:col>13</xdr:col>
      <xdr:colOff>620884</xdr:colOff>
      <xdr:row>18</xdr:row>
      <xdr:rowOff>106376</xdr:rowOff>
    </xdr:to>
    <xdr:pic>
      <xdr:nvPicPr>
        <xdr:cNvPr id="16" name="Picture 15">
          <a:extLst>
            <a:ext uri="{FF2B5EF4-FFF2-40B4-BE49-F238E27FC236}">
              <a16:creationId xmlns:a16="http://schemas.microsoft.com/office/drawing/2014/main" id="{D35399BB-94A9-A51E-A37E-9818C56B2316}"/>
            </a:ext>
          </a:extLst>
        </xdr:cNvPr>
        <xdr:cNvPicPr>
          <a:picLocks noChangeAspect="1"/>
        </xdr:cNvPicPr>
      </xdr:nvPicPr>
      <xdr:blipFill>
        <a:blip xmlns:r="http://schemas.openxmlformats.org/officeDocument/2006/relationships" r:embed="rId3"/>
        <a:stretch>
          <a:fillRect/>
        </a:stretch>
      </xdr:blipFill>
      <xdr:spPr>
        <a:xfrm>
          <a:off x="5397500" y="3479800"/>
          <a:ext cx="3340272" cy="273064"/>
        </a:xfrm>
        <a:prstGeom prst="rect">
          <a:avLst/>
        </a:prstGeom>
      </xdr:spPr>
    </xdr:pic>
    <xdr:clientData/>
  </xdr:twoCellAnchor>
  <xdr:oneCellAnchor>
    <xdr:from>
      <xdr:col>7</xdr:col>
      <xdr:colOff>438150</xdr:colOff>
      <xdr:row>18</xdr:row>
      <xdr:rowOff>165100</xdr:rowOff>
    </xdr:from>
    <xdr:ext cx="5048250" cy="2159053"/>
    <xdr:sp macro="" textlink="">
      <xdr:nvSpPr>
        <xdr:cNvPr id="17" name="TextBox 16">
          <a:extLst>
            <a:ext uri="{FF2B5EF4-FFF2-40B4-BE49-F238E27FC236}">
              <a16:creationId xmlns:a16="http://schemas.microsoft.com/office/drawing/2014/main" id="{B3E20DDF-FFB0-47A5-8E60-190B70D20CAD}"/>
            </a:ext>
          </a:extLst>
        </xdr:cNvPr>
        <xdr:cNvSpPr txBox="1"/>
      </xdr:nvSpPr>
      <xdr:spPr>
        <a:xfrm>
          <a:off x="5264150" y="3816350"/>
          <a:ext cx="5048250" cy="2159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Cambria" panose="02040503050406030204" pitchFamily="18" charset="0"/>
              <a:ea typeface="Cambria" panose="02040503050406030204" pitchFamily="18" charset="0"/>
              <a:cs typeface="+mn-cs"/>
            </a:rPr>
            <a:t>Seismic Loading Modeling Criteria and Assumptions</a:t>
          </a:r>
          <a:endParaRPr lang="en-US">
            <a:effectLst/>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1) Out-of-plane seismic</a:t>
          </a:r>
          <a:r>
            <a:rPr lang="en-US" sz="1100" baseline="0">
              <a:latin typeface="Cambria" panose="02040503050406030204" pitchFamily="18" charset="0"/>
              <a:ea typeface="Cambria" panose="02040503050406030204" pitchFamily="18" charset="0"/>
            </a:rPr>
            <a:t> loads </a:t>
          </a:r>
          <a:r>
            <a:rPr lang="en-US" sz="1100">
              <a:latin typeface="Cambria" panose="02040503050406030204" pitchFamily="18" charset="0"/>
              <a:ea typeface="Cambria" panose="02040503050406030204" pitchFamily="18" charset="0"/>
            </a:rPr>
            <a:t>are determined in</a:t>
          </a:r>
          <a:r>
            <a:rPr lang="en-US" sz="1100" baseline="0">
              <a:latin typeface="Cambria" panose="02040503050406030204" pitchFamily="18" charset="0"/>
              <a:ea typeface="Cambria" panose="02040503050406030204" pitchFamily="18" charset="0"/>
            </a:rPr>
            <a:t> accordance with Chapter 13 (Nonstructural Components) of ASCE/SEI 7-22. </a:t>
          </a:r>
          <a:r>
            <a:rPr lang="en-US" sz="1100" baseline="0">
              <a:solidFill>
                <a:schemeClr val="dk1"/>
              </a:solidFill>
              <a:effectLst/>
              <a:latin typeface="Cambria" panose="02040503050406030204" pitchFamily="18" charset="0"/>
              <a:ea typeface="Cambria" panose="02040503050406030204" pitchFamily="18" charset="0"/>
              <a:cs typeface="+mn-cs"/>
            </a:rPr>
            <a:t>Per ASCE/SEI 7 Table 13.3-1, architectural and nonstructural components in buildings assigned to SDC A and B are exempt from seismic loading. For these conditions, the out-of-plane seismic load (</a:t>
          </a:r>
          <a:r>
            <a:rPr lang="en-US" sz="1100" i="1" baseline="0">
              <a:solidFill>
                <a:schemeClr val="dk1"/>
              </a:solidFill>
              <a:effectLst/>
              <a:latin typeface="Cambria" panose="02040503050406030204" pitchFamily="18" charset="0"/>
              <a:ea typeface="Cambria" panose="02040503050406030204" pitchFamily="18" charset="0"/>
              <a:cs typeface="+mn-cs"/>
            </a:rPr>
            <a:t>Fp</a:t>
          </a:r>
          <a:r>
            <a:rPr lang="en-US" sz="1100" baseline="0">
              <a:solidFill>
                <a:schemeClr val="dk1"/>
              </a:solidFill>
              <a:effectLst/>
              <a:latin typeface="Cambria" panose="02040503050406030204" pitchFamily="18" charset="0"/>
              <a:ea typeface="Cambria" panose="02040503050406030204" pitchFamily="18" charset="0"/>
              <a:cs typeface="+mn-cs"/>
            </a:rPr>
            <a:t>) is taken equal to zero.</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2) In determining the wall weight (</a:t>
          </a:r>
          <a:r>
            <a:rPr lang="en-US" sz="1100" i="1" baseline="0">
              <a:solidFill>
                <a:schemeClr val="dk1"/>
              </a:solidFill>
              <a:effectLst/>
              <a:latin typeface="Cambria" panose="02040503050406030204" pitchFamily="18" charset="0"/>
              <a:ea typeface="Cambria" panose="02040503050406030204" pitchFamily="18" charset="0"/>
              <a:cs typeface="+mn-cs"/>
            </a:rPr>
            <a:t>W</a:t>
          </a:r>
          <a:r>
            <a:rPr lang="en-US" sz="1100" i="1" baseline="-25000">
              <a:solidFill>
                <a:schemeClr val="dk1"/>
              </a:solidFill>
              <a:effectLst/>
              <a:latin typeface="Cambria" panose="02040503050406030204" pitchFamily="18" charset="0"/>
              <a:ea typeface="Cambria" panose="02040503050406030204" pitchFamily="18" charset="0"/>
              <a:cs typeface="+mn-cs"/>
            </a:rPr>
            <a:t>p</a:t>
          </a:r>
          <a:r>
            <a:rPr lang="en-US" sz="1100" baseline="0">
              <a:solidFill>
                <a:schemeClr val="dk1"/>
              </a:solidFill>
              <a:effectLst/>
              <a:latin typeface="Cambria" panose="02040503050406030204" pitchFamily="18" charset="0"/>
              <a:ea typeface="Cambria" panose="02040503050406030204" pitchFamily="18" charset="0"/>
              <a:cs typeface="+mn-cs"/>
            </a:rPr>
            <a:t>), the spacing of the vertically grouted cells is assumed to be 48 in. as this is prescriptively required by TMS 402 for partitions in buildings assigned to SDC D or higher. The density of the concrete masonry units is conservatively assumed to be at the upper range of the density classification specified (105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lightweight CMU, 120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medium weight CMU, and 135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normal weight CMU).</a:t>
          </a:r>
          <a:endParaRPr lang="en-US">
            <a:effectLst/>
            <a:latin typeface="Cambria" panose="02040503050406030204" pitchFamily="18" charset="0"/>
            <a:ea typeface="Cambria" panose="02040503050406030204" pitchFamily="18" charset="0"/>
          </a:endParaRPr>
        </a:p>
      </xdr:txBody>
    </xdr:sp>
    <xdr:clientData/>
  </xdr:oneCellAnchor>
  <xdr:oneCellAnchor>
    <xdr:from>
      <xdr:col>6</xdr:col>
      <xdr:colOff>801687</xdr:colOff>
      <xdr:row>32</xdr:row>
      <xdr:rowOff>115887</xdr:rowOff>
    </xdr:from>
    <xdr:ext cx="5518150" cy="3399649"/>
    <xdr:sp macro="" textlink="">
      <xdr:nvSpPr>
        <xdr:cNvPr id="6" name="TextBox 5">
          <a:extLst>
            <a:ext uri="{FF2B5EF4-FFF2-40B4-BE49-F238E27FC236}">
              <a16:creationId xmlns:a16="http://schemas.microsoft.com/office/drawing/2014/main" id="{BF1A1C2B-C2D2-4564-BA53-CA67F69D991E}"/>
            </a:ext>
          </a:extLst>
        </xdr:cNvPr>
        <xdr:cNvSpPr txBox="1"/>
      </xdr:nvSpPr>
      <xdr:spPr>
        <a:xfrm>
          <a:off x="4916487" y="6326187"/>
          <a:ext cx="5518150" cy="3399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latin typeface="Cambria" panose="02040503050406030204" pitchFamily="18" charset="0"/>
              <a:ea typeface="Cambria" panose="02040503050406030204" pitchFamily="18" charset="0"/>
            </a:rPr>
            <a:t>Design Loading - Combination of Loads Modeling Criteria and Assumptions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1) Each strength level load combination stipulated by ASCE/SEI 7 Chapter</a:t>
          </a:r>
          <a:r>
            <a:rPr lang="en-US" sz="1100" baseline="0">
              <a:latin typeface="Cambria" panose="02040503050406030204" pitchFamily="18" charset="0"/>
              <a:ea typeface="Cambria" panose="02040503050406030204" pitchFamily="18" charset="0"/>
            </a:rPr>
            <a:t> 2 is checked and the critical design load is used for designing the masonry partition. </a:t>
          </a:r>
          <a:r>
            <a:rPr lang="en-US" sz="1100">
              <a:solidFill>
                <a:schemeClr val="dk1"/>
              </a:solidFill>
              <a:effectLst/>
              <a:latin typeface="Cambria" panose="02040503050406030204" pitchFamily="18" charset="0"/>
              <a:ea typeface="Cambria" panose="02040503050406030204" pitchFamily="18" charset="0"/>
              <a:cs typeface="+mn-cs"/>
            </a:rPr>
            <a:t>The calculator conservatively</a:t>
          </a:r>
          <a:r>
            <a:rPr lang="en-US" sz="1100" baseline="0">
              <a:solidFill>
                <a:schemeClr val="dk1"/>
              </a:solidFill>
              <a:effectLst/>
              <a:latin typeface="Cambria" panose="02040503050406030204" pitchFamily="18" charset="0"/>
              <a:ea typeface="Cambria" panose="02040503050406030204" pitchFamily="18" charset="0"/>
              <a:cs typeface="+mn-cs"/>
            </a:rPr>
            <a:t> assumes axial loads are minimum when this load increases the assembly strength or decreases the out-of-plane deflection and assumes the axial loads are maximum when this load decreases the assembly strength or increases the out-of-plane deflection. For the lower bound axial load checks, the density of the concrete masonry units is conservatively assumed to be at the lower range of the density classification specified (95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lightweight CMU, 105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medium weight CMU, and 125 lb/ft</a:t>
          </a:r>
          <a:r>
            <a:rPr lang="en-US" sz="1100" baseline="30000">
              <a:solidFill>
                <a:schemeClr val="dk1"/>
              </a:solidFill>
              <a:effectLst/>
              <a:latin typeface="Cambria" panose="02040503050406030204" pitchFamily="18" charset="0"/>
              <a:ea typeface="Cambria" panose="02040503050406030204" pitchFamily="18" charset="0"/>
              <a:cs typeface="+mn-cs"/>
            </a:rPr>
            <a:t>3</a:t>
          </a:r>
          <a:r>
            <a:rPr lang="en-US" sz="1100" baseline="0">
              <a:solidFill>
                <a:schemeClr val="dk1"/>
              </a:solidFill>
              <a:effectLst/>
              <a:latin typeface="Cambria" panose="02040503050406030204" pitchFamily="18" charset="0"/>
              <a:ea typeface="Cambria" panose="02040503050406030204" pitchFamily="18" charset="0"/>
              <a:cs typeface="+mn-cs"/>
            </a:rPr>
            <a:t> for normal weight CMU) and the spacing of the vertically grouted cells is 120 in. (the largest spacing permitted by this calculator). For the upper bound axial load checks the wall self-weight is based on previous assumptions for calculating the seismic out-of-plane loads.</a:t>
          </a:r>
          <a:endParaRPr lang="en-US">
            <a:effectLst/>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2) For partitions located in buildings assigned to SDC C or higher, the design axial load includes the vertical earthquake component associated with the wall dead load calculated at the mid-height of the partition: 0.2</a:t>
          </a:r>
          <a:r>
            <a:rPr lang="en-US" sz="1100" i="1" baseline="0">
              <a:solidFill>
                <a:schemeClr val="dk1"/>
              </a:solidFill>
              <a:effectLst/>
              <a:latin typeface="Cambria" panose="02040503050406030204" pitchFamily="18" charset="0"/>
              <a:ea typeface="Cambria" panose="02040503050406030204" pitchFamily="18" charset="0"/>
              <a:cs typeface="+mn-cs"/>
            </a:rPr>
            <a:t>S</a:t>
          </a:r>
          <a:r>
            <a:rPr lang="en-US" sz="1100" i="1" baseline="-25000">
              <a:solidFill>
                <a:schemeClr val="dk1"/>
              </a:solidFill>
              <a:effectLst/>
              <a:latin typeface="Cambria" panose="02040503050406030204" pitchFamily="18" charset="0"/>
              <a:ea typeface="Cambria" panose="02040503050406030204" pitchFamily="18" charset="0"/>
              <a:cs typeface="+mn-cs"/>
            </a:rPr>
            <a:t>DS</a:t>
          </a:r>
          <a:r>
            <a:rPr lang="en-US" sz="1100" i="1" baseline="0">
              <a:solidFill>
                <a:schemeClr val="dk1"/>
              </a:solidFill>
              <a:effectLst/>
              <a:latin typeface="Cambria" panose="02040503050406030204" pitchFamily="18" charset="0"/>
              <a:ea typeface="Cambria" panose="02040503050406030204" pitchFamily="18" charset="0"/>
              <a:cs typeface="+mn-cs"/>
            </a:rPr>
            <a:t>D</a:t>
          </a:r>
          <a:r>
            <a:rPr lang="en-US" sz="1100" baseline="0">
              <a:solidFill>
                <a:schemeClr val="dk1"/>
              </a:solidFill>
              <a:effectLst/>
              <a:latin typeface="Cambria" panose="02040503050406030204" pitchFamily="18" charset="0"/>
              <a:ea typeface="Cambria" panose="02040503050406030204" pitchFamily="18" charset="0"/>
              <a:cs typeface="+mn-cs"/>
            </a:rPr>
            <a:t>.</a:t>
          </a: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3) Allowable stress level load combinations are also determined as these are used in checking the out-of-plane deflection of the partition. Only the minimum axial load is determined for the allowable stress load combinations as this corresponds to the critical design load for out-of-plane deflection checks.</a:t>
          </a:r>
          <a:endParaRPr lang="en-US">
            <a:effectLst/>
            <a:latin typeface="Cambria" panose="02040503050406030204" pitchFamily="18" charset="0"/>
            <a:ea typeface="Cambria" panose="02040503050406030204" pitchFamily="18" charset="0"/>
          </a:endParaRPr>
        </a:p>
      </xdr:txBody>
    </xdr:sp>
    <xdr:clientData/>
  </xdr:oneCellAnchor>
  <xdr:oneCellAnchor>
    <xdr:from>
      <xdr:col>7</xdr:col>
      <xdr:colOff>63500</xdr:colOff>
      <xdr:row>65</xdr:row>
      <xdr:rowOff>146050</xdr:rowOff>
    </xdr:from>
    <xdr:ext cx="11487150" cy="3895746"/>
    <xdr:sp macro="" textlink="">
      <xdr:nvSpPr>
        <xdr:cNvPr id="7" name="TextBox 6">
          <a:extLst>
            <a:ext uri="{FF2B5EF4-FFF2-40B4-BE49-F238E27FC236}">
              <a16:creationId xmlns:a16="http://schemas.microsoft.com/office/drawing/2014/main" id="{39980207-3EF1-4E93-A9B0-CD484018CA2B}"/>
            </a:ext>
          </a:extLst>
        </xdr:cNvPr>
        <xdr:cNvSpPr txBox="1"/>
      </xdr:nvSpPr>
      <xdr:spPr>
        <a:xfrm>
          <a:off x="4889500" y="13036550"/>
          <a:ext cx="11487150" cy="3895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Cambria" panose="02040503050406030204" pitchFamily="18" charset="0"/>
              <a:ea typeface="Cambria" panose="02040503050406030204" pitchFamily="18" charset="0"/>
              <a:cs typeface="+mn-cs"/>
            </a:rPr>
            <a:t>Design Checks</a:t>
          </a:r>
          <a:r>
            <a:rPr lang="en-US" sz="1100" u="sng" baseline="0">
              <a:solidFill>
                <a:schemeClr val="dk1"/>
              </a:solidFill>
              <a:effectLst/>
              <a:latin typeface="Cambria" panose="02040503050406030204" pitchFamily="18" charset="0"/>
              <a:ea typeface="Cambria" panose="02040503050406030204" pitchFamily="18" charset="0"/>
              <a:cs typeface="+mn-cs"/>
            </a:rPr>
            <a:t> - Maximum Horizontal Span Modeling Criterial and Assumptions</a:t>
          </a:r>
          <a:endParaRPr lang="en-US">
            <a:effectLst/>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 The design modeling assumes that the partition wall is vertically reinforced with deformed reinforcing bars and horizontally reinforced with joint reinforcement. Bi-directional bending is considered whereby the maximum horizontal span is first determined using the joint reinforcement spanning between vertically reinforced sections. The spacing of the vertical reinforcement is then determined based on the out-of-plane design load and vertical span of the partition, which is limited to the maximum horizontal span the joint reinforcement can accommodate.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2) The effective depth of the joint reinforcement in resisting out-of-plane loads is based on standard joint reinforcement dimensions, which is typically 1.25 in. narrower than the specified thickness of the assembly to account for </a:t>
          </a:r>
          <a:r>
            <a:rPr lang="en-US" sz="1100" b="0" i="0" baseline="30000">
              <a:solidFill>
                <a:schemeClr val="dk1"/>
              </a:solidFill>
              <a:effectLst/>
              <a:latin typeface="Cambria" panose="02040503050406030204" pitchFamily="18" charset="0"/>
              <a:ea typeface="Cambria" panose="02040503050406030204" pitchFamily="18" charset="0"/>
              <a:cs typeface="+mn-cs"/>
            </a:rPr>
            <a:t>5</a:t>
          </a:r>
          <a:r>
            <a:rPr lang="en-US" sz="1100" b="0" i="0" baseline="0">
              <a:solidFill>
                <a:schemeClr val="dk1"/>
              </a:solidFill>
              <a:effectLst/>
              <a:latin typeface="Cambria" panose="02040503050406030204" pitchFamily="18" charset="0"/>
              <a:ea typeface="Cambria" panose="02040503050406030204" pitchFamily="18" charset="0"/>
              <a:cs typeface="+mn-cs"/>
            </a:rPr>
            <a:t>/</a:t>
          </a:r>
          <a:r>
            <a:rPr lang="en-US" sz="1100" b="0" i="0" baseline="-25000">
              <a:solidFill>
                <a:schemeClr val="dk1"/>
              </a:solidFill>
              <a:effectLst/>
              <a:latin typeface="Cambria" panose="02040503050406030204" pitchFamily="18" charset="0"/>
              <a:ea typeface="Cambria" panose="02040503050406030204" pitchFamily="18" charset="0"/>
              <a:cs typeface="+mn-cs"/>
            </a:rPr>
            <a:t>8</a:t>
          </a:r>
          <a:r>
            <a:rPr lang="en-US" sz="1100" b="0" i="0" baseline="0">
              <a:solidFill>
                <a:schemeClr val="dk1"/>
              </a:solidFill>
              <a:effectLst/>
              <a:latin typeface="Cambria" panose="02040503050406030204" pitchFamily="18" charset="0"/>
              <a:ea typeface="Cambria" panose="02040503050406030204" pitchFamily="18" charset="0"/>
              <a:cs typeface="+mn-cs"/>
            </a:rPr>
            <a:t> in. cover distance required by TMS 402 for corrosion protection.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3) For the horizontal spanning direction, no vertical axial load is assumed present and the area of reinforcement that can be provided is limited to the spacing of the joint reinforcement at an effective depth controlled by the cover distance. For these constraints, the horizontally spanning direction will always be tension-controlled, which would require the ratio of the depth to the neutral axis to the effective depth of the joint reinforcement (</a:t>
          </a:r>
          <a:r>
            <a:rPr lang="en-US" sz="1100" b="0" i="1" baseline="0">
              <a:solidFill>
                <a:schemeClr val="dk1"/>
              </a:solidFill>
              <a:effectLst/>
              <a:latin typeface="Cambria" panose="02040503050406030204" pitchFamily="18" charset="0"/>
              <a:ea typeface="Cambria" panose="02040503050406030204" pitchFamily="18" charset="0"/>
              <a:cs typeface="+mn-cs"/>
            </a:rPr>
            <a:t>c</a:t>
          </a:r>
          <a:r>
            <a:rPr lang="en-US" sz="1100" b="0" i="0" baseline="0">
              <a:solidFill>
                <a:schemeClr val="dk1"/>
              </a:solidFill>
              <a:effectLst/>
              <a:latin typeface="Cambria" panose="02040503050406030204" pitchFamily="18" charset="0"/>
              <a:ea typeface="Cambria" panose="02040503050406030204" pitchFamily="18" charset="0"/>
              <a:cs typeface="+mn-cs"/>
            </a:rPr>
            <a:t>/</a:t>
          </a:r>
          <a:r>
            <a:rPr lang="en-US" sz="1100" b="0" i="1" baseline="0">
              <a:solidFill>
                <a:schemeClr val="dk1"/>
              </a:solidFill>
              <a:effectLst/>
              <a:latin typeface="Cambria" panose="02040503050406030204" pitchFamily="18" charset="0"/>
              <a:ea typeface="Cambria" panose="02040503050406030204" pitchFamily="18" charset="0"/>
              <a:cs typeface="+mn-cs"/>
            </a:rPr>
            <a:t>d</a:t>
          </a:r>
          <a:r>
            <a:rPr lang="en-US" sz="1100" b="0" i="1" baseline="-25000">
              <a:solidFill>
                <a:schemeClr val="dk1"/>
              </a:solidFill>
              <a:effectLst/>
              <a:latin typeface="Cambria" panose="02040503050406030204" pitchFamily="18" charset="0"/>
              <a:ea typeface="Cambria" panose="02040503050406030204" pitchFamily="18" charset="0"/>
              <a:cs typeface="+mn-cs"/>
            </a:rPr>
            <a:t>JR</a:t>
          </a:r>
          <a:r>
            <a:rPr lang="en-US" sz="1100" b="0" i="0" baseline="0">
              <a:solidFill>
                <a:schemeClr val="dk1"/>
              </a:solidFill>
              <a:effectLst/>
              <a:latin typeface="Cambria" panose="02040503050406030204" pitchFamily="18" charset="0"/>
              <a:ea typeface="Cambria" panose="02040503050406030204" pitchFamily="18" charset="0"/>
              <a:cs typeface="+mn-cs"/>
            </a:rPr>
            <a:t>) to be less than or equal to 0.333. The largest neutral axis depth would be for an assembly with joint reinforcement spaced at 4 in. on center with an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 1,750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resulting in a neutral axis depth of 0.27 in. The smallest effective depth of the joint reinforcement would be for a 6 in. CMU, or 4.93 in. resulting in: </a:t>
          </a:r>
          <a:r>
            <a:rPr lang="en-US" sz="1100" b="0" i="1" baseline="0">
              <a:solidFill>
                <a:schemeClr val="dk1"/>
              </a:solidFill>
              <a:effectLst/>
              <a:latin typeface="Cambria" panose="02040503050406030204" pitchFamily="18" charset="0"/>
              <a:ea typeface="Cambria" panose="02040503050406030204" pitchFamily="18" charset="0"/>
              <a:cs typeface="+mn-cs"/>
            </a:rPr>
            <a:t>c</a:t>
          </a:r>
          <a:r>
            <a:rPr lang="en-US" sz="1100" b="0" i="0" baseline="0">
              <a:solidFill>
                <a:schemeClr val="dk1"/>
              </a:solidFill>
              <a:effectLst/>
              <a:latin typeface="Cambria" panose="02040503050406030204" pitchFamily="18" charset="0"/>
              <a:ea typeface="Cambria" panose="02040503050406030204" pitchFamily="18" charset="0"/>
              <a:cs typeface="+mn-cs"/>
            </a:rPr>
            <a:t>/</a:t>
          </a:r>
          <a:r>
            <a:rPr lang="en-US" sz="1100" b="0" i="1" baseline="0">
              <a:solidFill>
                <a:schemeClr val="dk1"/>
              </a:solidFill>
              <a:effectLst/>
              <a:latin typeface="Cambria" panose="02040503050406030204" pitchFamily="18" charset="0"/>
              <a:ea typeface="Cambria" panose="02040503050406030204" pitchFamily="18" charset="0"/>
              <a:cs typeface="+mn-cs"/>
            </a:rPr>
            <a:t>d</a:t>
          </a:r>
          <a:r>
            <a:rPr lang="en-US" sz="1100" b="0" i="1" baseline="-25000">
              <a:solidFill>
                <a:schemeClr val="dk1"/>
              </a:solidFill>
              <a:effectLst/>
              <a:latin typeface="Cambria" panose="02040503050406030204" pitchFamily="18" charset="0"/>
              <a:ea typeface="Cambria" panose="02040503050406030204" pitchFamily="18" charset="0"/>
              <a:cs typeface="+mn-cs"/>
            </a:rPr>
            <a:t>JR</a:t>
          </a:r>
          <a:r>
            <a:rPr lang="en-US" sz="1100" b="0" i="0" baseline="0">
              <a:solidFill>
                <a:schemeClr val="dk1"/>
              </a:solidFill>
              <a:effectLst/>
              <a:latin typeface="Cambria" panose="02040503050406030204" pitchFamily="18" charset="0"/>
              <a:ea typeface="Cambria" panose="02040503050406030204" pitchFamily="18" charset="0"/>
              <a:cs typeface="+mn-cs"/>
            </a:rPr>
            <a:t> = 0.05. As such, the horizontally spanning direction is always tension-controlled and a strength reduction factor of 0.90 is used per TMS 402.</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4) The maximum horizontal span is calculated assuming simple-support conditions. Although some spans could be considered continuous thereby reducing the design moment, this would not occur at openings, control joints, and at the end of the wall.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5) User inputs include the type of mortar used in construction of the partition. Because the calculator designs the partition as a reinforced masonry assembly, the mortar/unit bond strength does not affect the strength of the assembly, but does impact the out-of-plane deflection by changing the cracking moment strength and resulting cracked moment of inertia of the assembly. For out-of-plane deflection checks, the net moment of inertia (</a:t>
          </a:r>
          <a:r>
            <a:rPr lang="en-US" sz="1100" i="1" baseline="0">
              <a:solidFill>
                <a:schemeClr val="dk1"/>
              </a:solidFill>
              <a:effectLst/>
              <a:latin typeface="Cambria" panose="02040503050406030204" pitchFamily="18" charset="0"/>
              <a:ea typeface="Cambria" panose="02040503050406030204" pitchFamily="18" charset="0"/>
              <a:cs typeface="+mn-cs"/>
            </a:rPr>
            <a:t>I</a:t>
          </a:r>
          <a:r>
            <a:rPr lang="en-US" sz="1100" i="1" baseline="-25000">
              <a:solidFill>
                <a:schemeClr val="dk1"/>
              </a:solidFill>
              <a:effectLst/>
              <a:latin typeface="Cambria" panose="02040503050406030204" pitchFamily="18" charset="0"/>
              <a:ea typeface="Cambria" panose="02040503050406030204" pitchFamily="18" charset="0"/>
              <a:cs typeface="+mn-cs"/>
            </a:rPr>
            <a:t>n</a:t>
          </a:r>
          <a:r>
            <a:rPr lang="en-US" sz="1100" baseline="0">
              <a:solidFill>
                <a:schemeClr val="dk1"/>
              </a:solidFill>
              <a:effectLst/>
              <a:latin typeface="Cambria" panose="02040503050406030204" pitchFamily="18" charset="0"/>
              <a:ea typeface="Cambria" panose="02040503050406030204" pitchFamily="18" charset="0"/>
              <a:cs typeface="+mn-cs"/>
            </a:rPr>
            <a:t>) assumes the assembly is ungrouted in the horizontal direction and the mortar is face shell bedded. The modulus of rupture is likewise based on an ungrouted assembly. 6) Because there is no axial load in the horizontal direction, there are no second-order effects considered for the horizontal span.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7) TMS 402 and the International Building Code have two different out-of-plane deflection checks for interior partitions. TMS 402 limits the out-of-plane deflection to 0.007</a:t>
          </a:r>
          <a:r>
            <a:rPr lang="en-US" sz="1100" i="1" baseline="0">
              <a:solidFill>
                <a:schemeClr val="dk1"/>
              </a:solidFill>
              <a:effectLst/>
              <a:latin typeface="Cambria" panose="02040503050406030204" pitchFamily="18" charset="0"/>
              <a:ea typeface="Cambria" panose="02040503050406030204" pitchFamily="18" charset="0"/>
              <a:cs typeface="+mn-cs"/>
            </a:rPr>
            <a:t>h</a:t>
          </a:r>
          <a:r>
            <a:rPr lang="en-US" sz="1100" baseline="0">
              <a:solidFill>
                <a:schemeClr val="dk1"/>
              </a:solidFill>
              <a:effectLst/>
              <a:latin typeface="Cambria" panose="02040503050406030204" pitchFamily="18" charset="0"/>
              <a:ea typeface="Cambria" panose="02040503050406030204" pitchFamily="18" charset="0"/>
              <a:cs typeface="+mn-cs"/>
            </a:rPr>
            <a:t> under allowable stress level dead and live loads whereas the IBC limits the out-of-plane deflection to </a:t>
          </a:r>
          <a:r>
            <a:rPr lang="en-US" sz="1100" i="1" baseline="0">
              <a:solidFill>
                <a:schemeClr val="dk1"/>
              </a:solidFill>
              <a:effectLst/>
              <a:latin typeface="Cambria" panose="02040503050406030204" pitchFamily="18" charset="0"/>
              <a:ea typeface="Cambria" panose="02040503050406030204" pitchFamily="18" charset="0"/>
              <a:cs typeface="+mn-cs"/>
            </a:rPr>
            <a:t>h</a:t>
          </a:r>
          <a:r>
            <a:rPr lang="en-US" sz="1100" baseline="0">
              <a:solidFill>
                <a:schemeClr val="dk1"/>
              </a:solidFill>
              <a:effectLst/>
              <a:latin typeface="Cambria" panose="02040503050406030204" pitchFamily="18" charset="0"/>
              <a:ea typeface="Cambria" panose="02040503050406030204" pitchFamily="18" charset="0"/>
              <a:cs typeface="+mn-cs"/>
            </a:rPr>
            <a:t>/240 under allowable stress level live loads. Both deflection checks are performed and reported.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8) </a:t>
          </a:r>
          <a:r>
            <a:rPr lang="en-US" sz="1100" b="0" i="0" baseline="0">
              <a:solidFill>
                <a:schemeClr val="dk1"/>
              </a:solidFill>
              <a:effectLst/>
              <a:latin typeface="Cambria" panose="02040503050406030204" pitchFamily="18" charset="0"/>
              <a:ea typeface="Cambria" panose="02040503050406030204" pitchFamily="18" charset="0"/>
              <a:cs typeface="+mn-cs"/>
            </a:rPr>
            <a:t>Out-of-plane shear for horizontal spans is not explicitly checked. For a 6 in. CMU with 1 in. thick face shells the design out-of-plane shear strength is: </a:t>
          </a:r>
          <a:r>
            <a:rPr lang="el-GR" sz="1100" b="0" i="1" baseline="0">
              <a:solidFill>
                <a:schemeClr val="dk1"/>
              </a:solidFill>
              <a:effectLst/>
              <a:latin typeface="Cambria" panose="02040503050406030204" pitchFamily="18" charset="0"/>
              <a:ea typeface="Cambria" panose="02040503050406030204" pitchFamily="18" charset="0"/>
              <a:cs typeface="+mn-cs"/>
            </a:rPr>
            <a:t>ϕ</a:t>
          </a:r>
          <a:r>
            <a:rPr lang="en-US" sz="1100" b="0" i="1" baseline="0">
              <a:solidFill>
                <a:schemeClr val="dk1"/>
              </a:solidFill>
              <a:effectLst/>
              <a:latin typeface="Cambria" panose="02040503050406030204" pitchFamily="18" charset="0"/>
              <a:ea typeface="Cambria" panose="02040503050406030204" pitchFamily="18" charset="0"/>
              <a:cs typeface="+mn-cs"/>
            </a:rPr>
            <a:t>V</a:t>
          </a:r>
          <a:r>
            <a:rPr lang="en-US" sz="1100" b="0" i="1" baseline="-25000">
              <a:solidFill>
                <a:schemeClr val="dk1"/>
              </a:solidFill>
              <a:effectLst/>
              <a:latin typeface="Cambria" panose="02040503050406030204" pitchFamily="18" charset="0"/>
              <a:ea typeface="Cambria" panose="02040503050406030204" pitchFamily="18" charset="0"/>
              <a:cs typeface="+mn-cs"/>
            </a:rPr>
            <a:t>nm</a:t>
          </a:r>
          <a:r>
            <a:rPr lang="en-US" sz="1100" b="0" i="0" baseline="0">
              <a:solidFill>
                <a:schemeClr val="dk1"/>
              </a:solidFill>
              <a:effectLst/>
              <a:latin typeface="Cambria" panose="02040503050406030204" pitchFamily="18" charset="0"/>
              <a:ea typeface="Cambria" panose="02040503050406030204" pitchFamily="18" charset="0"/>
              <a:cs typeface="+mn-cs"/>
            </a:rPr>
            <a:t> = (0.8)(2.25)(1 in.)(12 in.)(2)(1,750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a:t>
          </a:r>
          <a:r>
            <a:rPr lang="en-US" sz="1100" b="0" i="0" baseline="30000">
              <a:solidFill>
                <a:schemeClr val="dk1"/>
              </a:solidFill>
              <a:effectLst/>
              <a:latin typeface="Cambria" panose="02040503050406030204" pitchFamily="18" charset="0"/>
              <a:ea typeface="Cambria" panose="02040503050406030204" pitchFamily="18" charset="0"/>
              <a:cs typeface="+mn-cs"/>
            </a:rPr>
            <a:t>0.5</a:t>
          </a:r>
          <a:r>
            <a:rPr lang="en-US" sz="1100" b="0" i="0" baseline="0">
              <a:solidFill>
                <a:schemeClr val="dk1"/>
              </a:solidFill>
              <a:effectLst/>
              <a:latin typeface="Cambria" panose="02040503050406030204" pitchFamily="18" charset="0"/>
              <a:ea typeface="Cambria" panose="02040503050406030204" pitchFamily="18" charset="0"/>
              <a:cs typeface="+mn-cs"/>
            </a:rPr>
            <a:t> = 1,807 lb/ft for </a:t>
          </a:r>
          <a:r>
            <a:rPr lang="en-US" sz="1100" b="0" i="1" baseline="0">
              <a:solidFill>
                <a:schemeClr val="dk1"/>
              </a:solidFill>
              <a:effectLst/>
              <a:latin typeface="Cambria" panose="02040503050406030204" pitchFamily="18" charset="0"/>
              <a:ea typeface="Cambria" panose="02040503050406030204" pitchFamily="18" charset="0"/>
              <a:cs typeface="+mn-cs"/>
            </a:rPr>
            <a:t>f'</a:t>
          </a:r>
          <a:r>
            <a:rPr lang="en-US" sz="1100" b="0" i="1" baseline="-25000">
              <a:solidFill>
                <a:schemeClr val="dk1"/>
              </a:solidFill>
              <a:effectLst/>
              <a:latin typeface="Cambria" panose="02040503050406030204" pitchFamily="18" charset="0"/>
              <a:ea typeface="Cambria" panose="02040503050406030204" pitchFamily="18" charset="0"/>
              <a:cs typeface="+mn-cs"/>
            </a:rPr>
            <a:t>m</a:t>
          </a:r>
          <a:r>
            <a:rPr lang="en-US" sz="1100" b="0" i="0" baseline="0">
              <a:solidFill>
                <a:schemeClr val="dk1"/>
              </a:solidFill>
              <a:effectLst/>
              <a:latin typeface="Cambria" panose="02040503050406030204" pitchFamily="18" charset="0"/>
              <a:ea typeface="Cambria" panose="02040503050406030204" pitchFamily="18" charset="0"/>
              <a:cs typeface="+mn-cs"/>
            </a:rPr>
            <a:t> = 1,750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For vertical reinforcing bars spaced at 10 ft on center, this would require a out-of-plane load of: </a:t>
          </a:r>
          <a:r>
            <a:rPr lang="en-US" sz="1100" b="0" i="1" baseline="0">
              <a:solidFill>
                <a:schemeClr val="dk1"/>
              </a:solidFill>
              <a:effectLst/>
              <a:latin typeface="Cambria" panose="02040503050406030204" pitchFamily="18" charset="0"/>
              <a:ea typeface="Cambria" panose="02040503050406030204" pitchFamily="18" charset="0"/>
              <a:cs typeface="+mn-cs"/>
            </a:rPr>
            <a:t>w</a:t>
          </a:r>
          <a:r>
            <a:rPr lang="en-US" sz="1100" b="0" i="0" baseline="0">
              <a:solidFill>
                <a:schemeClr val="dk1"/>
              </a:solidFill>
              <a:effectLst/>
              <a:latin typeface="Cambria" panose="02040503050406030204" pitchFamily="18" charset="0"/>
              <a:ea typeface="Cambria" panose="02040503050406030204" pitchFamily="18" charset="0"/>
              <a:cs typeface="+mn-cs"/>
            </a:rPr>
            <a:t> = (2)(1,930 lb/ft)/(10 ft) = 360 lb/ft</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which is well in excess of reasonable partition loading scenarios.</a:t>
          </a:r>
          <a:endParaRPr lang="en-US">
            <a:effectLst/>
            <a:latin typeface="Cambria" panose="02040503050406030204" pitchFamily="18" charset="0"/>
            <a:ea typeface="Cambria" panose="02040503050406030204" pitchFamily="18" charset="0"/>
          </a:endParaRPr>
        </a:p>
      </xdr:txBody>
    </xdr:sp>
    <xdr:clientData/>
  </xdr:oneCellAnchor>
  <xdr:twoCellAnchor editAs="oneCell">
    <xdr:from>
      <xdr:col>9</xdr:col>
      <xdr:colOff>12700</xdr:colOff>
      <xdr:row>94</xdr:row>
      <xdr:rowOff>75071</xdr:rowOff>
    </xdr:from>
    <xdr:to>
      <xdr:col>13</xdr:col>
      <xdr:colOff>639392</xdr:colOff>
      <xdr:row>100</xdr:row>
      <xdr:rowOff>163513</xdr:rowOff>
    </xdr:to>
    <xdr:pic>
      <xdr:nvPicPr>
        <xdr:cNvPr id="8" name="Picture 7">
          <a:extLst>
            <a:ext uri="{FF2B5EF4-FFF2-40B4-BE49-F238E27FC236}">
              <a16:creationId xmlns:a16="http://schemas.microsoft.com/office/drawing/2014/main" id="{B260D927-7889-5FE8-E063-8D67F722821B}"/>
            </a:ext>
          </a:extLst>
        </xdr:cNvPr>
        <xdr:cNvPicPr>
          <a:picLocks noChangeAspect="1"/>
        </xdr:cNvPicPr>
      </xdr:nvPicPr>
      <xdr:blipFill>
        <a:blip xmlns:r="http://schemas.openxmlformats.org/officeDocument/2006/relationships" r:embed="rId4"/>
        <a:stretch>
          <a:fillRect/>
        </a:stretch>
      </xdr:blipFill>
      <xdr:spPr>
        <a:xfrm>
          <a:off x="6184900" y="18667871"/>
          <a:ext cx="3314330" cy="1252080"/>
        </a:xfrm>
        <a:prstGeom prst="rect">
          <a:avLst/>
        </a:prstGeom>
      </xdr:spPr>
    </xdr:pic>
    <xdr:clientData/>
  </xdr:twoCellAnchor>
  <xdr:twoCellAnchor editAs="oneCell">
    <xdr:from>
      <xdr:col>9</xdr:col>
      <xdr:colOff>8764</xdr:colOff>
      <xdr:row>86</xdr:row>
      <xdr:rowOff>63500</xdr:rowOff>
    </xdr:from>
    <xdr:to>
      <xdr:col>14</xdr:col>
      <xdr:colOff>55953</xdr:colOff>
      <xdr:row>94</xdr:row>
      <xdr:rowOff>93847</xdr:rowOff>
    </xdr:to>
    <xdr:pic>
      <xdr:nvPicPr>
        <xdr:cNvPr id="9" name="Picture 8">
          <a:extLst>
            <a:ext uri="{FF2B5EF4-FFF2-40B4-BE49-F238E27FC236}">
              <a16:creationId xmlns:a16="http://schemas.microsoft.com/office/drawing/2014/main" id="{975AAC8E-E9AB-2A0D-897A-C1404BC372DA}"/>
            </a:ext>
          </a:extLst>
        </xdr:cNvPr>
        <xdr:cNvPicPr>
          <a:picLocks noChangeAspect="1"/>
        </xdr:cNvPicPr>
      </xdr:nvPicPr>
      <xdr:blipFill>
        <a:blip xmlns:r="http://schemas.openxmlformats.org/officeDocument/2006/relationships" r:embed="rId5"/>
        <a:stretch>
          <a:fillRect/>
        </a:stretch>
      </xdr:blipFill>
      <xdr:spPr>
        <a:xfrm>
          <a:off x="6180964" y="17056100"/>
          <a:ext cx="3407927" cy="1613085"/>
        </a:xfrm>
        <a:prstGeom prst="rect">
          <a:avLst/>
        </a:prstGeom>
      </xdr:spPr>
    </xdr:pic>
    <xdr:clientData/>
  </xdr:twoCellAnchor>
  <xdr:oneCellAnchor>
    <xdr:from>
      <xdr:col>6</xdr:col>
      <xdr:colOff>692150</xdr:colOff>
      <xdr:row>102</xdr:row>
      <xdr:rowOff>31750</xdr:rowOff>
    </xdr:from>
    <xdr:ext cx="8458200" cy="4722575"/>
    <xdr:sp macro="" textlink="">
      <xdr:nvSpPr>
        <xdr:cNvPr id="10" name="TextBox 9">
          <a:extLst>
            <a:ext uri="{FF2B5EF4-FFF2-40B4-BE49-F238E27FC236}">
              <a16:creationId xmlns:a16="http://schemas.microsoft.com/office/drawing/2014/main" id="{1135C1FD-D085-408B-9961-B82AE0E48601}"/>
            </a:ext>
          </a:extLst>
        </xdr:cNvPr>
        <xdr:cNvSpPr txBox="1"/>
      </xdr:nvSpPr>
      <xdr:spPr>
        <a:xfrm>
          <a:off x="4730750" y="20224750"/>
          <a:ext cx="8458200" cy="472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Cambria" panose="02040503050406030204" pitchFamily="18" charset="0"/>
              <a:ea typeface="Cambria" panose="02040503050406030204" pitchFamily="18" charset="0"/>
              <a:cs typeface="+mn-cs"/>
            </a:rPr>
            <a:t>Design Checks</a:t>
          </a:r>
          <a:r>
            <a:rPr lang="en-US" sz="1100" u="sng" baseline="0">
              <a:solidFill>
                <a:schemeClr val="dk1"/>
              </a:solidFill>
              <a:effectLst/>
              <a:latin typeface="Cambria" panose="02040503050406030204" pitchFamily="18" charset="0"/>
              <a:ea typeface="Cambria" panose="02040503050406030204" pitchFamily="18" charset="0"/>
              <a:cs typeface="+mn-cs"/>
            </a:rPr>
            <a:t> - Maximum Vertical Span Modeling Criterial and Assumptions</a:t>
          </a:r>
          <a:endParaRPr lang="en-US">
            <a:effectLst/>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1) Based on the controlling horizontal span, the required reinforcement in the vertical direction is subsequently checked using the tributary area of each vertical reinforcing bar assuming the partition is simply-supported top and bottom.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2) Because the vertical reinforcement may be spaced at distances exceeding the effective compression width permitted by TMS 402, a normalized effective compression width for the vertical reinforcement is used in cases where the vertical reinforcement exceeds 6</a:t>
          </a:r>
          <a:r>
            <a:rPr lang="en-US" sz="1100" b="0" i="1" baseline="0">
              <a:solidFill>
                <a:schemeClr val="dk1"/>
              </a:solidFill>
              <a:effectLst/>
              <a:latin typeface="Cambria" panose="02040503050406030204" pitchFamily="18" charset="0"/>
              <a:ea typeface="Cambria" panose="02040503050406030204" pitchFamily="18" charset="0"/>
              <a:cs typeface="+mn-cs"/>
            </a:rPr>
            <a:t>t</a:t>
          </a:r>
          <a:r>
            <a:rPr lang="en-US" sz="1100" b="0" i="0" baseline="0">
              <a:solidFill>
                <a:schemeClr val="dk1"/>
              </a:solidFill>
              <a:effectLst/>
              <a:latin typeface="Cambria" panose="02040503050406030204" pitchFamily="18" charset="0"/>
              <a:ea typeface="Cambria" panose="02040503050406030204" pitchFamily="18" charset="0"/>
              <a:cs typeface="+mn-cs"/>
            </a:rPr>
            <a:t> (6 times the nominal partition thickness).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3) Unlike with the horizontal span checks, the axial load due to the partition self-weight and any superimposed axial loads impacts the out-of-plane flexural strength and calculated deflection of the wall spanning vertically. </a:t>
          </a:r>
          <a:r>
            <a:rPr lang="en-US" sz="1100">
              <a:solidFill>
                <a:schemeClr val="dk1"/>
              </a:solidFill>
              <a:effectLst/>
              <a:latin typeface="Cambria" panose="02040503050406030204" pitchFamily="18" charset="0"/>
              <a:ea typeface="Cambria" panose="02040503050406030204" pitchFamily="18" charset="0"/>
              <a:cs typeface="+mn-cs"/>
            </a:rPr>
            <a:t>The calculator conservatively</a:t>
          </a:r>
          <a:r>
            <a:rPr lang="en-US" sz="1100" baseline="0">
              <a:solidFill>
                <a:schemeClr val="dk1"/>
              </a:solidFill>
              <a:effectLst/>
              <a:latin typeface="Cambria" panose="02040503050406030204" pitchFamily="18" charset="0"/>
              <a:ea typeface="Cambria" panose="02040503050406030204" pitchFamily="18" charset="0"/>
              <a:cs typeface="+mn-cs"/>
            </a:rPr>
            <a:t> assumes axial load is minimum when this load increases the assembly strength or decreases the out-of-plane deflection and assumes the axial load is maximum when this load decreases the assembly strength or increases the out-of-plane deflection. The same conservative assumptions are also used in checking the tension/compression-controlled limit states.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4) In calculating the minimum axial load, the wall self-weight is based a vertical grout spacing of 120 in. In calculating the maximum axial load, the wall self-weight is based a vertical grout spacing of 48 in. The wall self-weight assumptions are verified in subsequent checks based on the actual design spacing of the vertical reinforcement. For SDC C+, the maximum axial load also includes the vertical earthquake component: 0.2</a:t>
          </a:r>
          <a:r>
            <a:rPr lang="en-US" sz="1100" i="1" baseline="0">
              <a:solidFill>
                <a:schemeClr val="dk1"/>
              </a:solidFill>
              <a:effectLst/>
              <a:latin typeface="Cambria" panose="02040503050406030204" pitchFamily="18" charset="0"/>
              <a:ea typeface="Cambria" panose="02040503050406030204" pitchFamily="18" charset="0"/>
              <a:cs typeface="+mn-cs"/>
            </a:rPr>
            <a:t>S</a:t>
          </a:r>
          <a:r>
            <a:rPr lang="en-US" sz="1100" i="1" baseline="-25000">
              <a:solidFill>
                <a:schemeClr val="dk1"/>
              </a:solidFill>
              <a:effectLst/>
              <a:latin typeface="Cambria" panose="02040503050406030204" pitchFamily="18" charset="0"/>
              <a:ea typeface="Cambria" panose="02040503050406030204" pitchFamily="18" charset="0"/>
              <a:cs typeface="+mn-cs"/>
            </a:rPr>
            <a:t>DS</a:t>
          </a:r>
          <a:r>
            <a:rPr lang="en-US" sz="1100" i="1" baseline="0">
              <a:solidFill>
                <a:schemeClr val="dk1"/>
              </a:solidFill>
              <a:effectLst/>
              <a:latin typeface="Cambria" panose="02040503050406030204" pitchFamily="18" charset="0"/>
              <a:ea typeface="Cambria" panose="02040503050406030204" pitchFamily="18" charset="0"/>
              <a:cs typeface="+mn-cs"/>
            </a:rPr>
            <a:t>D</a:t>
          </a:r>
          <a:r>
            <a:rPr lang="en-US" sz="1100" baseline="0">
              <a:solidFill>
                <a:schemeClr val="dk1"/>
              </a:solidFill>
              <a:effectLst/>
              <a:latin typeface="Cambria" panose="02040503050406030204" pitchFamily="18" charset="0"/>
              <a:ea typeface="Cambria" panose="02040503050406030204" pitchFamily="18" charset="0"/>
              <a:cs typeface="+mn-cs"/>
            </a:rPr>
            <a:t> as required by ASCE/SEI 7.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5) The calculator solves for the area of vertical reinforcement required (</a:t>
          </a:r>
          <a:r>
            <a:rPr lang="en-US" sz="1100" b="0" i="1" baseline="0">
              <a:solidFill>
                <a:schemeClr val="dk1"/>
              </a:solidFill>
              <a:effectLst/>
              <a:latin typeface="Cambria" panose="02040503050406030204" pitchFamily="18" charset="0"/>
              <a:ea typeface="Cambria" panose="02040503050406030204" pitchFamily="18" charset="0"/>
              <a:cs typeface="+mn-cs"/>
            </a:rPr>
            <a:t>A</a:t>
          </a:r>
          <a:r>
            <a:rPr lang="en-US" sz="1100" b="0" i="1" baseline="-25000">
              <a:solidFill>
                <a:schemeClr val="dk1"/>
              </a:solidFill>
              <a:effectLst/>
              <a:latin typeface="Cambria" panose="02040503050406030204" pitchFamily="18" charset="0"/>
              <a:ea typeface="Cambria" panose="02040503050406030204" pitchFamily="18" charset="0"/>
              <a:cs typeface="+mn-cs"/>
            </a:rPr>
            <a:t>sreq</a:t>
          </a:r>
          <a:r>
            <a:rPr lang="en-US" sz="1100" b="0" i="0" baseline="0">
              <a:solidFill>
                <a:schemeClr val="dk1"/>
              </a:solidFill>
              <a:effectLst/>
              <a:latin typeface="Cambria" panose="02040503050406030204" pitchFamily="18" charset="0"/>
              <a:ea typeface="Cambria" panose="02040503050406030204" pitchFamily="18" charset="0"/>
              <a:cs typeface="+mn-cs"/>
            </a:rPr>
            <a:t>) based on the design loading and the maximum span the horizontal joint reinforcement can span based on this design loading. The area of vertical reinforcement required assumes the section is tension-controlled (</a:t>
          </a:r>
          <a:r>
            <a:rPr lang="el-GR" sz="1100" b="0" i="1" baseline="0">
              <a:solidFill>
                <a:schemeClr val="dk1"/>
              </a:solidFill>
              <a:effectLst/>
              <a:latin typeface="Cambria" panose="02040503050406030204" pitchFamily="18" charset="0"/>
              <a:ea typeface="Cambria" panose="02040503050406030204" pitchFamily="18" charset="0"/>
              <a:cs typeface="+mn-cs"/>
            </a:rPr>
            <a:t>ϕ</a:t>
          </a:r>
          <a:r>
            <a:rPr lang="en-US" sz="1100" b="0" i="1" baseline="0">
              <a:solidFill>
                <a:schemeClr val="dk1"/>
              </a:solidFill>
              <a:effectLst/>
              <a:latin typeface="Cambria" panose="02040503050406030204" pitchFamily="18" charset="0"/>
              <a:ea typeface="Cambria" panose="02040503050406030204" pitchFamily="18" charset="0"/>
              <a:cs typeface="+mn-cs"/>
            </a:rPr>
            <a:t> </a:t>
          </a:r>
          <a:r>
            <a:rPr lang="en-US" sz="1100" b="0" i="0" baseline="0">
              <a:solidFill>
                <a:schemeClr val="dk1"/>
              </a:solidFill>
              <a:effectLst/>
              <a:latin typeface="Cambria" panose="02040503050406030204" pitchFamily="18" charset="0"/>
              <a:ea typeface="Cambria" panose="02040503050406030204" pitchFamily="18" charset="0"/>
              <a:cs typeface="+mn-cs"/>
            </a:rPr>
            <a:t>= 0.9). This assumption is verified in subsequent design checks.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6) In determining the cracking moment and stiffness properties of the partition, the out-of-plane modulus of rupture conservatively assumes an ungrouted wall assembly constructed of hollow CMU, which corresponds to modulus of rupture values of 84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and 64 lb/in.</a:t>
          </a:r>
          <a:r>
            <a:rPr lang="en-US" sz="1100" b="0" i="0" baseline="30000">
              <a:solidFill>
                <a:schemeClr val="dk1"/>
              </a:solidFill>
              <a:effectLst/>
              <a:latin typeface="Cambria" panose="02040503050406030204" pitchFamily="18" charset="0"/>
              <a:ea typeface="Cambria" panose="02040503050406030204" pitchFamily="18" charset="0"/>
              <a:cs typeface="+mn-cs"/>
            </a:rPr>
            <a:t>2</a:t>
          </a:r>
          <a:r>
            <a:rPr lang="en-US" sz="1100" b="0" i="0" baseline="0">
              <a:solidFill>
                <a:schemeClr val="dk1"/>
              </a:solidFill>
              <a:effectLst/>
              <a:latin typeface="Cambria" panose="02040503050406030204" pitchFamily="18" charset="0"/>
              <a:ea typeface="Cambria" panose="02040503050406030204" pitchFamily="18" charset="0"/>
              <a:cs typeface="+mn-cs"/>
            </a:rPr>
            <a:t> for Type M or S and Type N mortars, respectively.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Cambria" panose="02040503050406030204" pitchFamily="18" charset="0"/>
              <a:ea typeface="Cambria" panose="02040503050406030204" pitchFamily="18" charset="0"/>
              <a:cs typeface="+mn-cs"/>
            </a:rPr>
            <a:t>7) Second-order effects are determined using the moment magnifier approach of TMS 402. Both out-of-plane deflection and bending moment are scaled by the moment magnifier. Section properties (</a:t>
          </a:r>
          <a:r>
            <a:rPr lang="en-US" sz="1100" b="0" i="1" baseline="0">
              <a:solidFill>
                <a:schemeClr val="dk1"/>
              </a:solidFill>
              <a:effectLst/>
              <a:latin typeface="Cambria" panose="02040503050406030204" pitchFamily="18" charset="0"/>
              <a:ea typeface="Cambria" panose="02040503050406030204" pitchFamily="18" charset="0"/>
              <a:cs typeface="+mn-cs"/>
            </a:rPr>
            <a:t>A</a:t>
          </a:r>
          <a:r>
            <a:rPr lang="en-US" sz="1100" b="0" i="1" baseline="-25000">
              <a:solidFill>
                <a:schemeClr val="dk1"/>
              </a:solidFill>
              <a:effectLst/>
              <a:latin typeface="Cambria" panose="02040503050406030204" pitchFamily="18" charset="0"/>
              <a:ea typeface="Cambria" panose="02040503050406030204" pitchFamily="18" charset="0"/>
              <a:cs typeface="+mn-cs"/>
            </a:rPr>
            <a:t>n</a:t>
          </a:r>
          <a:r>
            <a:rPr lang="en-US" sz="1100" b="0" i="0" baseline="0">
              <a:solidFill>
                <a:schemeClr val="dk1"/>
              </a:solidFill>
              <a:effectLst/>
              <a:latin typeface="Cambria" panose="02040503050406030204" pitchFamily="18" charset="0"/>
              <a:ea typeface="Cambria" panose="02040503050406030204" pitchFamily="18" charset="0"/>
              <a:cs typeface="+mn-cs"/>
            </a:rPr>
            <a:t> and </a:t>
          </a:r>
          <a:r>
            <a:rPr lang="en-US" sz="1100" b="0" i="1" baseline="0">
              <a:solidFill>
                <a:schemeClr val="dk1"/>
              </a:solidFill>
              <a:effectLst/>
              <a:latin typeface="Cambria" panose="02040503050406030204" pitchFamily="18" charset="0"/>
              <a:ea typeface="Cambria" panose="02040503050406030204" pitchFamily="18" charset="0"/>
              <a:cs typeface="+mn-cs"/>
            </a:rPr>
            <a:t>I</a:t>
          </a:r>
          <a:r>
            <a:rPr lang="en-US" sz="1100" b="0" i="1" baseline="-25000">
              <a:solidFill>
                <a:schemeClr val="dk1"/>
              </a:solidFill>
              <a:effectLst/>
              <a:latin typeface="Cambria" panose="02040503050406030204" pitchFamily="18" charset="0"/>
              <a:ea typeface="Cambria" panose="02040503050406030204" pitchFamily="18" charset="0"/>
              <a:cs typeface="+mn-cs"/>
            </a:rPr>
            <a:t>n</a:t>
          </a:r>
          <a:r>
            <a:rPr lang="en-US" sz="1100" b="0" i="0" baseline="0">
              <a:solidFill>
                <a:schemeClr val="dk1"/>
              </a:solidFill>
              <a:effectLst/>
              <a:latin typeface="Cambria" panose="02040503050406030204" pitchFamily="18" charset="0"/>
              <a:ea typeface="Cambria" panose="02040503050406030204" pitchFamily="18" charset="0"/>
              <a:cs typeface="+mn-cs"/>
            </a:rPr>
            <a:t>) conservatively assume a grout spacing of 120 in.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8) In checking the out-of-plane shear, the ratio </a:t>
          </a:r>
          <a:r>
            <a:rPr lang="en-US" sz="1100" i="1" baseline="0">
              <a:solidFill>
                <a:schemeClr val="dk1"/>
              </a:solidFill>
              <a:effectLst/>
              <a:latin typeface="Cambria" panose="02040503050406030204" pitchFamily="18" charset="0"/>
              <a:ea typeface="Cambria" panose="02040503050406030204" pitchFamily="18" charset="0"/>
              <a:cs typeface="+mn-cs"/>
            </a:rPr>
            <a:t>M</a:t>
          </a:r>
          <a:r>
            <a:rPr lang="en-US" sz="1100" i="1" baseline="-25000">
              <a:solidFill>
                <a:schemeClr val="dk1"/>
              </a:solidFill>
              <a:effectLst/>
              <a:latin typeface="Cambria" panose="02040503050406030204" pitchFamily="18" charset="0"/>
              <a:ea typeface="Cambria" panose="02040503050406030204" pitchFamily="18" charset="0"/>
              <a:cs typeface="+mn-cs"/>
            </a:rPr>
            <a:t>u</a:t>
          </a:r>
          <a:r>
            <a:rPr lang="en-US" sz="1100" baseline="0">
              <a:solidFill>
                <a:schemeClr val="dk1"/>
              </a:solidFill>
              <a:effectLst/>
              <a:latin typeface="Cambria" panose="02040503050406030204" pitchFamily="18" charset="0"/>
              <a:ea typeface="Cambria" panose="02040503050406030204" pitchFamily="18" charset="0"/>
              <a:cs typeface="+mn-cs"/>
            </a:rPr>
            <a:t>/</a:t>
          </a:r>
          <a:r>
            <a:rPr lang="en-US" sz="1100" i="1" baseline="0">
              <a:solidFill>
                <a:schemeClr val="dk1"/>
              </a:solidFill>
              <a:effectLst/>
              <a:latin typeface="Cambria" panose="02040503050406030204" pitchFamily="18" charset="0"/>
              <a:ea typeface="Cambria" panose="02040503050406030204" pitchFamily="18" charset="0"/>
              <a:cs typeface="+mn-cs"/>
            </a:rPr>
            <a:t>V</a:t>
          </a:r>
          <a:r>
            <a:rPr lang="en-US" sz="1100" i="1" baseline="-25000">
              <a:solidFill>
                <a:schemeClr val="dk1"/>
              </a:solidFill>
              <a:effectLst/>
              <a:latin typeface="Cambria" panose="02040503050406030204" pitchFamily="18" charset="0"/>
              <a:ea typeface="Cambria" panose="02040503050406030204" pitchFamily="18" charset="0"/>
              <a:cs typeface="+mn-cs"/>
            </a:rPr>
            <a:t>u</a:t>
          </a:r>
          <a:r>
            <a:rPr lang="en-US" sz="1100" i="1" baseline="0">
              <a:solidFill>
                <a:schemeClr val="dk1"/>
              </a:solidFill>
              <a:effectLst/>
              <a:latin typeface="Cambria" panose="02040503050406030204" pitchFamily="18" charset="0"/>
              <a:ea typeface="Cambria" panose="02040503050406030204" pitchFamily="18" charset="0"/>
              <a:cs typeface="+mn-cs"/>
            </a:rPr>
            <a:t>d</a:t>
          </a:r>
          <a:r>
            <a:rPr lang="en-US" sz="1100" i="1" baseline="-25000">
              <a:solidFill>
                <a:schemeClr val="dk1"/>
              </a:solidFill>
              <a:effectLst/>
              <a:latin typeface="Cambria" panose="02040503050406030204" pitchFamily="18" charset="0"/>
              <a:ea typeface="Cambria" panose="02040503050406030204" pitchFamily="18" charset="0"/>
              <a:cs typeface="+mn-cs"/>
            </a:rPr>
            <a:t>VR</a:t>
          </a:r>
          <a:r>
            <a:rPr lang="en-US" sz="1100" baseline="0">
              <a:solidFill>
                <a:schemeClr val="dk1"/>
              </a:solidFill>
              <a:effectLst/>
              <a:latin typeface="Cambria" panose="02040503050406030204" pitchFamily="18" charset="0"/>
              <a:ea typeface="Cambria" panose="02040503050406030204" pitchFamily="18" charset="0"/>
              <a:cs typeface="+mn-cs"/>
            </a:rPr>
            <a:t> is taken equal to 1.0. The design shear strength is then: </a:t>
          </a:r>
          <a:r>
            <a:rPr lang="el-GR" sz="1100" i="1" baseline="0">
              <a:solidFill>
                <a:schemeClr val="dk1"/>
              </a:solidFill>
              <a:effectLst/>
              <a:latin typeface="Cambria" panose="02040503050406030204" pitchFamily="18" charset="0"/>
              <a:ea typeface="Cambria" panose="02040503050406030204" pitchFamily="18" charset="0"/>
              <a:cs typeface="+mn-cs"/>
            </a:rPr>
            <a:t>ϕ</a:t>
          </a:r>
          <a:r>
            <a:rPr lang="en-US" sz="1100" i="1" baseline="0">
              <a:solidFill>
                <a:schemeClr val="dk1"/>
              </a:solidFill>
              <a:effectLst/>
              <a:latin typeface="Cambria" panose="02040503050406030204" pitchFamily="18" charset="0"/>
              <a:ea typeface="Cambria" panose="02040503050406030204" pitchFamily="18" charset="0"/>
              <a:cs typeface="+mn-cs"/>
            </a:rPr>
            <a:t>V</a:t>
          </a:r>
          <a:r>
            <a:rPr lang="en-US" sz="1100" i="1" baseline="-25000">
              <a:solidFill>
                <a:schemeClr val="dk1"/>
              </a:solidFill>
              <a:effectLst/>
              <a:latin typeface="Cambria" panose="02040503050406030204" pitchFamily="18" charset="0"/>
              <a:ea typeface="Cambria" panose="02040503050406030204" pitchFamily="18" charset="0"/>
              <a:cs typeface="+mn-cs"/>
            </a:rPr>
            <a:t>nm</a:t>
          </a:r>
          <a:r>
            <a:rPr lang="en-US" sz="1100" baseline="0">
              <a:solidFill>
                <a:schemeClr val="dk1"/>
              </a:solidFill>
              <a:effectLst/>
              <a:latin typeface="Cambria" panose="02040503050406030204" pitchFamily="18" charset="0"/>
              <a:ea typeface="Cambria" panose="02040503050406030204" pitchFamily="18" charset="0"/>
              <a:cs typeface="+mn-cs"/>
            </a:rPr>
            <a:t> = (0.8)(4.0-1.75)(</a:t>
          </a:r>
          <a:r>
            <a:rPr lang="en-US" sz="1100" i="1" baseline="0">
              <a:solidFill>
                <a:schemeClr val="dk1"/>
              </a:solidFill>
              <a:effectLst/>
              <a:latin typeface="Cambria" panose="02040503050406030204" pitchFamily="18" charset="0"/>
              <a:ea typeface="Cambria" panose="02040503050406030204" pitchFamily="18" charset="0"/>
              <a:cs typeface="+mn-cs"/>
            </a:rPr>
            <a:t>A</a:t>
          </a:r>
          <a:r>
            <a:rPr lang="en-US" sz="1100" i="1" baseline="-25000">
              <a:solidFill>
                <a:schemeClr val="dk1"/>
              </a:solidFill>
              <a:effectLst/>
              <a:latin typeface="Cambria" panose="02040503050406030204" pitchFamily="18" charset="0"/>
              <a:ea typeface="Cambria" panose="02040503050406030204" pitchFamily="18" charset="0"/>
              <a:cs typeface="+mn-cs"/>
            </a:rPr>
            <a:t>nv</a:t>
          </a:r>
          <a:r>
            <a:rPr lang="en-US" sz="1100" baseline="0">
              <a:solidFill>
                <a:schemeClr val="dk1"/>
              </a:solidFill>
              <a:effectLst/>
              <a:latin typeface="Cambria" panose="02040503050406030204" pitchFamily="18" charset="0"/>
              <a:ea typeface="Cambria" panose="02040503050406030204" pitchFamily="18" charset="0"/>
              <a:cs typeface="+mn-cs"/>
            </a:rPr>
            <a:t>)(</a:t>
          </a:r>
          <a:r>
            <a:rPr lang="en-US" sz="1100" i="1" baseline="0">
              <a:solidFill>
                <a:schemeClr val="dk1"/>
              </a:solidFill>
              <a:effectLst/>
              <a:latin typeface="Cambria" panose="02040503050406030204" pitchFamily="18" charset="0"/>
              <a:ea typeface="Cambria" panose="02040503050406030204" pitchFamily="18" charset="0"/>
              <a:cs typeface="+mn-cs"/>
            </a:rPr>
            <a:t>f'</a:t>
          </a:r>
          <a:r>
            <a:rPr lang="en-US" sz="1100" i="1" baseline="-25000">
              <a:solidFill>
                <a:schemeClr val="dk1"/>
              </a:solidFill>
              <a:effectLst/>
              <a:latin typeface="Cambria" panose="02040503050406030204" pitchFamily="18" charset="0"/>
              <a:ea typeface="Cambria" panose="02040503050406030204" pitchFamily="18" charset="0"/>
              <a:cs typeface="+mn-cs"/>
            </a:rPr>
            <a:t>m</a:t>
          </a:r>
          <a:r>
            <a:rPr lang="en-US" sz="1100" baseline="0">
              <a:solidFill>
                <a:schemeClr val="dk1"/>
              </a:solidFill>
              <a:effectLst/>
              <a:latin typeface="Cambria" panose="02040503050406030204" pitchFamily="18" charset="0"/>
              <a:ea typeface="Cambria" panose="02040503050406030204" pitchFamily="18" charset="0"/>
              <a:cs typeface="+mn-cs"/>
            </a:rPr>
            <a:t>)</a:t>
          </a:r>
          <a:r>
            <a:rPr lang="en-US" sz="1100" baseline="30000">
              <a:solidFill>
                <a:schemeClr val="dk1"/>
              </a:solidFill>
              <a:effectLst/>
              <a:latin typeface="Cambria" panose="02040503050406030204" pitchFamily="18" charset="0"/>
              <a:ea typeface="Cambria" panose="02040503050406030204" pitchFamily="18" charset="0"/>
              <a:cs typeface="+mn-cs"/>
            </a:rPr>
            <a:t>0.5</a:t>
          </a:r>
          <a:r>
            <a:rPr lang="en-US" sz="1100" baseline="0">
              <a:solidFill>
                <a:schemeClr val="dk1"/>
              </a:solidFill>
              <a:effectLst/>
              <a:latin typeface="Cambria" panose="02040503050406030204" pitchFamily="18" charset="0"/>
              <a:ea typeface="Cambria" panose="02040503050406030204" pitchFamily="18" charset="0"/>
              <a:cs typeface="+mn-cs"/>
            </a:rPr>
            <a:t>. In determining the net shear area, the width of a single grouted cell is assumed to be 8.3 in. accounting for the length of a single grouted cell and the adjacent cross-mortared webs. The resulting net shear area (</a:t>
          </a:r>
          <a:r>
            <a:rPr lang="en-US" sz="1100" i="1" baseline="0">
              <a:solidFill>
                <a:schemeClr val="dk1"/>
              </a:solidFill>
              <a:effectLst/>
              <a:latin typeface="Cambria" panose="02040503050406030204" pitchFamily="18" charset="0"/>
              <a:ea typeface="Cambria" panose="02040503050406030204" pitchFamily="18" charset="0"/>
              <a:cs typeface="+mn-cs"/>
            </a:rPr>
            <a:t>A</a:t>
          </a:r>
          <a:r>
            <a:rPr lang="en-US" sz="1100" i="1" baseline="-25000">
              <a:solidFill>
                <a:schemeClr val="dk1"/>
              </a:solidFill>
              <a:effectLst/>
              <a:latin typeface="Cambria" panose="02040503050406030204" pitchFamily="18" charset="0"/>
              <a:ea typeface="Cambria" panose="02040503050406030204" pitchFamily="18" charset="0"/>
              <a:cs typeface="+mn-cs"/>
            </a:rPr>
            <a:t>nv</a:t>
          </a:r>
          <a:r>
            <a:rPr lang="en-US" sz="1100" baseline="0">
              <a:solidFill>
                <a:schemeClr val="dk1"/>
              </a:solidFill>
              <a:effectLst/>
              <a:latin typeface="Cambria" panose="02040503050406030204" pitchFamily="18" charset="0"/>
              <a:ea typeface="Cambria" panose="02040503050406030204" pitchFamily="18" charset="0"/>
              <a:cs typeface="+mn-cs"/>
            </a:rPr>
            <a:t>) is then taken equal to (8.3 in.)(</a:t>
          </a:r>
          <a:r>
            <a:rPr lang="en-US" sz="1100" i="1" baseline="0">
              <a:solidFill>
                <a:schemeClr val="dk1"/>
              </a:solidFill>
              <a:effectLst/>
              <a:latin typeface="Cambria" panose="02040503050406030204" pitchFamily="18" charset="0"/>
              <a:ea typeface="Cambria" panose="02040503050406030204" pitchFamily="18" charset="0"/>
              <a:cs typeface="+mn-cs"/>
            </a:rPr>
            <a:t>d</a:t>
          </a:r>
          <a:r>
            <a:rPr lang="en-US" sz="1100" i="1" baseline="-25000">
              <a:solidFill>
                <a:schemeClr val="dk1"/>
              </a:solidFill>
              <a:effectLst/>
              <a:latin typeface="Cambria" panose="02040503050406030204" pitchFamily="18" charset="0"/>
              <a:ea typeface="Cambria" panose="02040503050406030204" pitchFamily="18" charset="0"/>
              <a:cs typeface="+mn-cs"/>
            </a:rPr>
            <a:t>VR</a:t>
          </a:r>
          <a:r>
            <a:rPr lang="en-US" sz="1100" baseline="0">
              <a:solidFill>
                <a:schemeClr val="dk1"/>
              </a:solidFill>
              <a:effectLst/>
              <a:latin typeface="Cambria" panose="02040503050406030204" pitchFamily="18" charset="0"/>
              <a:ea typeface="Cambria" panose="02040503050406030204" pitchFamily="18" charset="0"/>
              <a:cs typeface="+mn-cs"/>
            </a:rPr>
            <a:t>).</a:t>
          </a:r>
          <a:endParaRPr lang="en-US">
            <a:effectLst/>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latin typeface="Cambria" panose="02040503050406030204" pitchFamily="18" charset="0"/>
              <a:ea typeface="Cambria" panose="02040503050406030204" pitchFamily="18" charset="0"/>
            </a:rPr>
            <a:t>9) The same deflection</a:t>
          </a:r>
          <a:r>
            <a:rPr lang="en-US" baseline="0">
              <a:effectLst/>
              <a:latin typeface="Cambria" panose="02040503050406030204" pitchFamily="18" charset="0"/>
              <a:ea typeface="Cambria" panose="02040503050406030204" pitchFamily="18" charset="0"/>
            </a:rPr>
            <a:t> checks are performed for the vertically spanning direction as for the horizontally spanning direction verifying both the TMS 402 and IBC deflection limits.</a:t>
          </a:r>
          <a:endParaRPr lang="en-US">
            <a:effectLst/>
            <a:latin typeface="Cambria" panose="02040503050406030204" pitchFamily="18" charset="0"/>
            <a:ea typeface="Cambria" panose="02040503050406030204" pitchFamily="18" charset="0"/>
          </a:endParaRPr>
        </a:p>
      </xdr:txBody>
    </xdr:sp>
    <xdr:clientData/>
  </xdr:oneCellAnchor>
  <xdr:oneCellAnchor>
    <xdr:from>
      <xdr:col>7</xdr:col>
      <xdr:colOff>107950</xdr:colOff>
      <xdr:row>150</xdr:row>
      <xdr:rowOff>57150</xdr:rowOff>
    </xdr:from>
    <xdr:ext cx="8140700" cy="1249894"/>
    <xdr:sp macro="" textlink="">
      <xdr:nvSpPr>
        <xdr:cNvPr id="11" name="TextBox 10">
          <a:extLst>
            <a:ext uri="{FF2B5EF4-FFF2-40B4-BE49-F238E27FC236}">
              <a16:creationId xmlns:a16="http://schemas.microsoft.com/office/drawing/2014/main" id="{53C5314C-2569-480D-8108-BEBA1BFA5470}"/>
            </a:ext>
          </a:extLst>
        </xdr:cNvPr>
        <xdr:cNvSpPr txBox="1"/>
      </xdr:nvSpPr>
      <xdr:spPr>
        <a:xfrm>
          <a:off x="4933950" y="29203650"/>
          <a:ext cx="8140700" cy="1249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latin typeface="Cambria" panose="02040503050406030204" pitchFamily="18" charset="0"/>
              <a:ea typeface="Cambria" panose="02040503050406030204" pitchFamily="18" charset="0"/>
            </a:rPr>
            <a:t>Design Check Iteration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Cambria" panose="02040503050406030204" pitchFamily="18" charset="0"/>
              <a:ea typeface="Cambria" panose="02040503050406030204" pitchFamily="18" charset="0"/>
            </a:rPr>
            <a:t>1)</a:t>
          </a:r>
          <a:r>
            <a:rPr lang="en-US" sz="1100" baseline="0">
              <a:effectLst/>
              <a:latin typeface="Cambria" panose="02040503050406030204" pitchFamily="18" charset="0"/>
              <a:ea typeface="Cambria" panose="02040503050406030204" pitchFamily="18" charset="0"/>
            </a:rPr>
            <a:t> If any of the strength or deflection checks fail, the calculator will decrease the spacing of the vertical reinforcement by 8 in. and reanalyze the assembly. This iteration will continue until a vertical reinforcing bar spacing is found that satisfies each design check or the required spacing of the vertical reinforcement is less than 8 in., in which case the calculator returns a null answer.</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effectLst/>
              <a:latin typeface="Cambria" panose="02040503050406030204" pitchFamily="18" charset="0"/>
              <a:ea typeface="Cambria" panose="02040503050406030204" pitchFamily="18" charset="0"/>
            </a:rPr>
            <a:t>2) If the originally assumed maximum wall weight based on a grout spacing of 48 in. is determined to be unconservative (e.g., the spacing of the vertical reinforcement is less than 48 in.), the calculator will decrease the assumed spacing of the grout to 24 in. and reanalyze the assembly. Subsequent iterations will further decrease the grout spacing as necessary.</a:t>
          </a:r>
          <a:endParaRPr lang="en-US">
            <a:effectLst/>
            <a:latin typeface="Cambria" panose="02040503050406030204" pitchFamily="18" charset="0"/>
            <a:ea typeface="Cambria" panose="020405030504060302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0D73-60C8-4DA6-9182-DE7496A63856}">
  <sheetPr>
    <pageSetUpPr fitToPage="1"/>
  </sheetPr>
  <dimension ref="E1:R58"/>
  <sheetViews>
    <sheetView tabSelected="1" zoomScaleNormal="100" workbookViewId="0">
      <selection activeCell="A8" sqref="A8"/>
    </sheetView>
  </sheetViews>
  <sheetFormatPr defaultColWidth="8.7109375" defaultRowHeight="14.25" x14ac:dyDescent="0.2"/>
  <cols>
    <col min="1" max="16384" width="8.7109375" style="2"/>
  </cols>
  <sheetData>
    <row r="1" spans="5:12" x14ac:dyDescent="0.2">
      <c r="L1" s="28" t="s">
        <v>208</v>
      </c>
    </row>
    <row r="2" spans="5:12" x14ac:dyDescent="0.2">
      <c r="L2" s="29" t="s">
        <v>224</v>
      </c>
    </row>
    <row r="3" spans="5:12" x14ac:dyDescent="0.2">
      <c r="E3" s="50" t="s">
        <v>172</v>
      </c>
      <c r="F3" s="50"/>
      <c r="G3" s="50"/>
      <c r="H3" s="50"/>
      <c r="I3" s="50"/>
      <c r="J3" s="50"/>
      <c r="K3" s="50"/>
      <c r="L3" s="50"/>
    </row>
    <row r="4" spans="5:12" x14ac:dyDescent="0.2">
      <c r="E4" s="50"/>
      <c r="F4" s="50"/>
      <c r="G4" s="50"/>
      <c r="H4" s="50"/>
      <c r="I4" s="50"/>
      <c r="J4" s="50"/>
      <c r="K4" s="50"/>
      <c r="L4" s="50"/>
    </row>
    <row r="5" spans="5:12" x14ac:dyDescent="0.2">
      <c r="E5" s="50"/>
      <c r="F5" s="50"/>
      <c r="G5" s="50"/>
      <c r="H5" s="50"/>
      <c r="I5" s="50"/>
      <c r="J5" s="50"/>
      <c r="K5" s="50"/>
      <c r="L5" s="50"/>
    </row>
    <row r="6" spans="5:12" x14ac:dyDescent="0.2">
      <c r="E6" s="50"/>
      <c r="F6" s="50"/>
      <c r="G6" s="50"/>
      <c r="H6" s="50"/>
      <c r="I6" s="50"/>
      <c r="J6" s="50"/>
      <c r="K6" s="50"/>
      <c r="L6" s="50"/>
    </row>
    <row r="7" spans="5:12" x14ac:dyDescent="0.2">
      <c r="E7" s="50"/>
      <c r="F7" s="50"/>
      <c r="G7" s="50"/>
      <c r="H7" s="50"/>
      <c r="I7" s="50"/>
      <c r="J7" s="50"/>
      <c r="K7" s="50"/>
      <c r="L7" s="50"/>
    </row>
    <row r="18" spans="18:18" ht="15" x14ac:dyDescent="0.25">
      <c r="R18"/>
    </row>
    <row r="19" spans="18:18" ht="15" x14ac:dyDescent="0.25">
      <c r="R19"/>
    </row>
    <row r="20" spans="18:18" ht="15" x14ac:dyDescent="0.25">
      <c r="R20"/>
    </row>
    <row r="21" spans="18:18" ht="15" x14ac:dyDescent="0.25">
      <c r="R21"/>
    </row>
    <row r="22" spans="18:18" ht="15" x14ac:dyDescent="0.25">
      <c r="R22"/>
    </row>
    <row r="23" spans="18:18" ht="15" x14ac:dyDescent="0.25">
      <c r="R23"/>
    </row>
    <row r="40" spans="14:15" ht="15" x14ac:dyDescent="0.25">
      <c r="N40"/>
      <c r="O40"/>
    </row>
    <row r="41" spans="14:15" ht="15" x14ac:dyDescent="0.25">
      <c r="N41"/>
      <c r="O41"/>
    </row>
    <row r="42" spans="14:15" ht="15" x14ac:dyDescent="0.25">
      <c r="N42"/>
      <c r="O42"/>
    </row>
    <row r="43" spans="14:15" ht="15" x14ac:dyDescent="0.25">
      <c r="N43"/>
      <c r="O43"/>
    </row>
    <row r="44" spans="14:15" ht="15" x14ac:dyDescent="0.25">
      <c r="N44"/>
      <c r="O44"/>
    </row>
    <row r="45" spans="14:15" ht="15" x14ac:dyDescent="0.25">
      <c r="N45"/>
      <c r="O45"/>
    </row>
    <row r="46" spans="14:15" ht="15" x14ac:dyDescent="0.25">
      <c r="N46"/>
      <c r="O46"/>
    </row>
    <row r="47" spans="14:15" ht="15" x14ac:dyDescent="0.25">
      <c r="N47"/>
      <c r="O47"/>
    </row>
    <row r="48" spans="14:15" ht="15" x14ac:dyDescent="0.25">
      <c r="N48"/>
      <c r="O48"/>
    </row>
    <row r="49" spans="14:15" ht="15" x14ac:dyDescent="0.25">
      <c r="N49"/>
      <c r="O49"/>
    </row>
    <row r="50" spans="14:15" ht="15" x14ac:dyDescent="0.25">
      <c r="N50"/>
      <c r="O50"/>
    </row>
    <row r="51" spans="14:15" ht="15" x14ac:dyDescent="0.25">
      <c r="N51"/>
      <c r="O51"/>
    </row>
    <row r="52" spans="14:15" ht="15" x14ac:dyDescent="0.25">
      <c r="N52"/>
      <c r="O52"/>
    </row>
    <row r="53" spans="14:15" ht="15" x14ac:dyDescent="0.25">
      <c r="N53"/>
      <c r="O53"/>
    </row>
    <row r="54" spans="14:15" ht="15" x14ac:dyDescent="0.25">
      <c r="N54"/>
      <c r="O54"/>
    </row>
    <row r="55" spans="14:15" ht="15" x14ac:dyDescent="0.25">
      <c r="N55"/>
      <c r="O55"/>
    </row>
    <row r="56" spans="14:15" ht="15" x14ac:dyDescent="0.25">
      <c r="N56"/>
      <c r="O56"/>
    </row>
    <row r="57" spans="14:15" ht="15" x14ac:dyDescent="0.25">
      <c r="N57"/>
      <c r="O57"/>
    </row>
    <row r="58" spans="14:15" ht="15" x14ac:dyDescent="0.25">
      <c r="N58"/>
      <c r="O58"/>
    </row>
  </sheetData>
  <sheetProtection algorithmName="SHA-512" hashValue="5qM04tFJHIGcW7IiKF3OBI0Lb6RayzLlnhB717K99uqN013MFbsweDcrxtcRvfGR5zt2bZF/MR2DtqGRHercSA==" saltValue="mGQIMSf/m2sq69UbFF6k/Q==" spinCount="100000" sheet="1" objects="1" scenarios="1"/>
  <mergeCells count="1">
    <mergeCell ref="E3:L7"/>
  </mergeCells>
  <pageMargins left="0.7" right="0.7" top="0.75" bottom="0.75" header="0.3" footer="0.3"/>
  <pageSetup scale="87" fitToHeight="0" orientation="portrait" horizontalDpi="1200" verticalDpi="1200" r:id="rId1"/>
  <headerFooter>
    <oddFooter>&amp;L&amp;"Cambria,Regular"Block Design Collective&amp;C&amp;"Cambria,Regular"Partition Wall Calculator&amp;R&amp;"Cambria,Regular"Ver. 1.2: May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0351-FEC6-45B5-B4D9-3228E16F1BDF}">
  <sheetPr>
    <pageSetUpPr fitToPage="1"/>
  </sheetPr>
  <dimension ref="C1:AK60"/>
  <sheetViews>
    <sheetView zoomScaleNormal="100" workbookViewId="0">
      <selection activeCell="H2" sqref="H2"/>
    </sheetView>
  </sheetViews>
  <sheetFormatPr defaultColWidth="8.7109375" defaultRowHeight="14.25" x14ac:dyDescent="0.2"/>
  <cols>
    <col min="1" max="7" width="8.7109375" style="2"/>
    <col min="8" max="8" width="30.5703125" style="2" bestFit="1" customWidth="1"/>
    <col min="9" max="22" width="8.7109375" style="2"/>
    <col min="23" max="23" width="9.85546875" style="2" customWidth="1"/>
    <col min="24" max="16384" width="8.7109375" style="2"/>
  </cols>
  <sheetData>
    <row r="1" spans="7:37" x14ac:dyDescent="0.2">
      <c r="W1" s="28" t="s">
        <v>208</v>
      </c>
    </row>
    <row r="2" spans="7:37" x14ac:dyDescent="0.2">
      <c r="H2" s="22" t="s">
        <v>34</v>
      </c>
      <c r="W2" s="29" t="s">
        <v>224</v>
      </c>
    </row>
    <row r="3" spans="7:37" ht="15" x14ac:dyDescent="0.25">
      <c r="N3"/>
      <c r="O3"/>
      <c r="P3" s="50" t="s">
        <v>172</v>
      </c>
      <c r="Q3" s="50"/>
      <c r="R3" s="50"/>
      <c r="S3" s="50"/>
      <c r="T3" s="50"/>
      <c r="U3" s="50"/>
      <c r="V3" s="50"/>
      <c r="W3" s="50"/>
      <c r="Y3"/>
      <c r="AA3"/>
      <c r="AB3"/>
      <c r="AC3"/>
      <c r="AD3"/>
      <c r="AE3"/>
      <c r="AF3"/>
      <c r="AG3"/>
      <c r="AH3"/>
      <c r="AI3"/>
      <c r="AJ3"/>
      <c r="AK3"/>
    </row>
    <row r="4" spans="7:37" ht="15" x14ac:dyDescent="0.25">
      <c r="G4" s="3" t="s">
        <v>13</v>
      </c>
      <c r="H4" s="52">
        <v>6</v>
      </c>
      <c r="N4"/>
      <c r="O4"/>
      <c r="P4" s="50"/>
      <c r="Q4" s="50"/>
      <c r="R4" s="50"/>
      <c r="S4" s="50"/>
      <c r="T4" s="50"/>
      <c r="U4" s="50"/>
      <c r="V4" s="50"/>
      <c r="W4" s="50"/>
      <c r="Y4"/>
      <c r="AA4"/>
      <c r="AB4"/>
      <c r="AC4"/>
      <c r="AD4"/>
      <c r="AE4"/>
      <c r="AF4"/>
      <c r="AG4"/>
      <c r="AH4"/>
      <c r="AI4"/>
      <c r="AJ4"/>
      <c r="AK4"/>
    </row>
    <row r="5" spans="7:37" ht="15" x14ac:dyDescent="0.25">
      <c r="G5" s="3" t="s">
        <v>35</v>
      </c>
      <c r="H5" s="52">
        <v>4</v>
      </c>
      <c r="N5"/>
      <c r="O5"/>
      <c r="P5" s="50"/>
      <c r="Q5" s="50"/>
      <c r="R5" s="50"/>
      <c r="S5" s="50"/>
      <c r="T5" s="50"/>
      <c r="U5" s="50"/>
      <c r="V5" s="50"/>
      <c r="W5" s="50"/>
      <c r="Y5"/>
      <c r="AA5"/>
      <c r="AB5"/>
      <c r="AC5"/>
      <c r="AD5"/>
      <c r="AE5"/>
      <c r="AF5"/>
      <c r="AG5"/>
      <c r="AH5"/>
      <c r="AI5"/>
      <c r="AJ5"/>
      <c r="AK5"/>
    </row>
    <row r="6" spans="7:37" ht="15" x14ac:dyDescent="0.25">
      <c r="G6" s="3" t="s">
        <v>219</v>
      </c>
      <c r="H6" s="53">
        <v>12</v>
      </c>
      <c r="N6"/>
      <c r="O6"/>
      <c r="P6" s="50"/>
      <c r="Q6" s="50"/>
      <c r="R6" s="50"/>
      <c r="S6" s="50"/>
      <c r="T6" s="50"/>
      <c r="U6" s="50"/>
      <c r="V6" s="50"/>
      <c r="W6" s="50"/>
      <c r="Y6"/>
      <c r="AA6"/>
      <c r="AB6"/>
      <c r="AC6"/>
      <c r="AD6"/>
      <c r="AE6"/>
      <c r="AF6"/>
      <c r="AG6"/>
      <c r="AH6"/>
      <c r="AI6"/>
      <c r="AJ6"/>
      <c r="AK6"/>
    </row>
    <row r="7" spans="7:37" ht="17.25" x14ac:dyDescent="0.3">
      <c r="G7" s="3" t="s">
        <v>218</v>
      </c>
      <c r="H7" s="54">
        <f>(H4-0.375)/2</f>
        <v>2.8125</v>
      </c>
      <c r="N7"/>
      <c r="O7"/>
      <c r="P7" s="50"/>
      <c r="Q7" s="50"/>
      <c r="R7" s="50"/>
      <c r="S7" s="50"/>
      <c r="T7" s="50"/>
      <c r="U7" s="50"/>
      <c r="V7" s="50"/>
      <c r="W7" s="50"/>
      <c r="Y7"/>
      <c r="AA7"/>
      <c r="AB7"/>
      <c r="AC7"/>
      <c r="AD7"/>
      <c r="AE7"/>
      <c r="AF7"/>
      <c r="AG7"/>
      <c r="AH7"/>
      <c r="AI7"/>
      <c r="AJ7"/>
      <c r="AK7"/>
    </row>
    <row r="8" spans="7:37" ht="17.25" x14ac:dyDescent="0.3">
      <c r="G8" s="3" t="s">
        <v>45</v>
      </c>
      <c r="H8" s="53">
        <f>H7</f>
        <v>2.8125</v>
      </c>
      <c r="M8" s="34" t="s">
        <v>210</v>
      </c>
      <c r="N8" s="35"/>
      <c r="O8" s="35"/>
      <c r="P8" s="35"/>
      <c r="Q8" s="8"/>
      <c r="R8" s="8"/>
      <c r="S8" s="8"/>
      <c r="T8" s="8"/>
      <c r="U8" s="8"/>
      <c r="V8" s="8"/>
      <c r="W8" s="9"/>
      <c r="Y8"/>
      <c r="AA8"/>
      <c r="AB8"/>
      <c r="AC8"/>
      <c r="AD8"/>
      <c r="AE8"/>
      <c r="AF8"/>
      <c r="AG8"/>
      <c r="AH8"/>
      <c r="AI8"/>
      <c r="AJ8"/>
      <c r="AK8"/>
    </row>
    <row r="9" spans="7:37" ht="18" x14ac:dyDescent="0.3">
      <c r="G9" s="3" t="s">
        <v>42</v>
      </c>
      <c r="H9" s="55">
        <v>60000</v>
      </c>
      <c r="M9" s="10"/>
      <c r="N9" s="2" t="s">
        <v>211</v>
      </c>
      <c r="O9"/>
      <c r="W9" s="11"/>
      <c r="Y9"/>
      <c r="AA9"/>
      <c r="AB9"/>
      <c r="AC9"/>
      <c r="AF9"/>
      <c r="AG9"/>
      <c r="AH9"/>
      <c r="AI9"/>
      <c r="AJ9"/>
      <c r="AK9"/>
    </row>
    <row r="10" spans="7:37" ht="15" x14ac:dyDescent="0.25">
      <c r="G10" s="3" t="s">
        <v>43</v>
      </c>
      <c r="H10" s="56" t="s">
        <v>44</v>
      </c>
      <c r="M10" s="10"/>
      <c r="S10" s="3" t="s">
        <v>13</v>
      </c>
      <c r="T10" s="16">
        <f>H4</f>
        <v>6</v>
      </c>
      <c r="W10" s="11"/>
      <c r="AA10"/>
      <c r="AB10"/>
      <c r="AF10"/>
      <c r="AG10"/>
      <c r="AH10"/>
      <c r="AI10"/>
      <c r="AJ10"/>
      <c r="AK10"/>
    </row>
    <row r="11" spans="7:37" ht="15" x14ac:dyDescent="0.25">
      <c r="G11" s="3" t="s">
        <v>7</v>
      </c>
      <c r="H11" s="52">
        <v>16</v>
      </c>
      <c r="M11" s="10"/>
      <c r="S11" s="3" t="s">
        <v>41</v>
      </c>
      <c r="T11" s="7">
        <f>H6</f>
        <v>12</v>
      </c>
      <c r="W11" s="11"/>
      <c r="AA11"/>
      <c r="AB11"/>
      <c r="AF11"/>
      <c r="AG11"/>
      <c r="AH11"/>
      <c r="AI11"/>
      <c r="AJ11"/>
      <c r="AK11"/>
    </row>
    <row r="12" spans="7:37" ht="18" x14ac:dyDescent="0.3">
      <c r="G12" s="3" t="s">
        <v>17</v>
      </c>
      <c r="H12" s="55">
        <v>70000</v>
      </c>
      <c r="M12" s="10"/>
      <c r="S12" s="3" t="s">
        <v>37</v>
      </c>
      <c r="T12" s="18" t="str">
        <f>H14</f>
        <v>Medium Weight</v>
      </c>
      <c r="W12" s="11"/>
    </row>
    <row r="13" spans="7:37" ht="18" x14ac:dyDescent="0.3">
      <c r="G13" s="3" t="s">
        <v>15</v>
      </c>
      <c r="H13" s="55">
        <v>1750</v>
      </c>
      <c r="M13" s="10"/>
      <c r="S13" s="3" t="s">
        <v>36</v>
      </c>
      <c r="T13" s="16" t="str">
        <f>H15</f>
        <v>Type N PCL or Mortar Cement</v>
      </c>
      <c r="V13"/>
      <c r="W13" s="36"/>
      <c r="X13"/>
    </row>
    <row r="14" spans="7:37" ht="18" x14ac:dyDescent="0.3">
      <c r="G14" s="3" t="s">
        <v>37</v>
      </c>
      <c r="H14" s="55" t="s">
        <v>222</v>
      </c>
      <c r="M14" s="10"/>
      <c r="S14" s="3" t="s">
        <v>15</v>
      </c>
      <c r="T14" s="18">
        <f>H13</f>
        <v>1750</v>
      </c>
      <c r="U14"/>
      <c r="V14"/>
      <c r="W14" s="36"/>
    </row>
    <row r="15" spans="7:37" x14ac:dyDescent="0.2">
      <c r="G15" s="3" t="s">
        <v>36</v>
      </c>
      <c r="H15" s="52" t="s">
        <v>221</v>
      </c>
      <c r="M15" s="10"/>
      <c r="S15" s="3" t="s">
        <v>171</v>
      </c>
      <c r="T15" s="16" t="str">
        <f>H16</f>
        <v>Running Bond</v>
      </c>
      <c r="W15" s="11"/>
    </row>
    <row r="16" spans="7:37" x14ac:dyDescent="0.2">
      <c r="G16" s="3" t="s">
        <v>171</v>
      </c>
      <c r="H16" s="52" t="s">
        <v>170</v>
      </c>
      <c r="M16" s="10"/>
      <c r="S16" s="3" t="s">
        <v>202</v>
      </c>
      <c r="T16" s="16" t="str">
        <f>H17</f>
        <v>Partial</v>
      </c>
      <c r="W16" s="11"/>
    </row>
    <row r="17" spans="3:31" ht="15" x14ac:dyDescent="0.25">
      <c r="G17" s="3" t="s">
        <v>202</v>
      </c>
      <c r="H17" s="52" t="s">
        <v>203</v>
      </c>
      <c r="M17" s="10"/>
      <c r="N17" s="2" t="s">
        <v>212</v>
      </c>
      <c r="S17"/>
      <c r="T17"/>
      <c r="W17" s="11"/>
    </row>
    <row r="18" spans="3:31" x14ac:dyDescent="0.2">
      <c r="M18" s="10"/>
      <c r="S18" s="3" t="s">
        <v>213</v>
      </c>
      <c r="T18" s="16">
        <f>H5</f>
        <v>4</v>
      </c>
      <c r="W18" s="11"/>
    </row>
    <row r="19" spans="3:31" ht="18" x14ac:dyDescent="0.3">
      <c r="D19" s="1" t="s">
        <v>175</v>
      </c>
      <c r="M19" s="10"/>
      <c r="S19" s="3" t="s">
        <v>215</v>
      </c>
      <c r="T19" s="18">
        <f>H9</f>
        <v>60000</v>
      </c>
      <c r="W19" s="11"/>
    </row>
    <row r="20" spans="3:31" ht="17.25" x14ac:dyDescent="0.3">
      <c r="E20" s="2" t="str">
        <f>IF('Design Checks'!O512="OK","The TMS 402 tension-controlled design check is satisfied.","The wall assembly is compression-controlled.")</f>
        <v>The TMS 402 tension-controlled design check is satisfied.</v>
      </c>
      <c r="M20" s="10"/>
      <c r="S20" s="3" t="s">
        <v>214</v>
      </c>
      <c r="T20" s="7">
        <f>H7</f>
        <v>2.8125</v>
      </c>
      <c r="W20" s="11"/>
    </row>
    <row r="21" spans="3:31" ht="15" x14ac:dyDescent="0.25">
      <c r="C21"/>
      <c r="E21" s="2" t="str">
        <f>IF('Design Checks'!O512="Increase Assembly Compressive Strength","Increase the specified compressive strength of the masonry.","")</f>
        <v/>
      </c>
      <c r="M21" s="10"/>
      <c r="N21" s="2" t="s">
        <v>217</v>
      </c>
      <c r="W21" s="11"/>
    </row>
    <row r="22" spans="3:31" ht="15" x14ac:dyDescent="0.25">
      <c r="C22"/>
      <c r="M22" s="10"/>
      <c r="S22" s="3" t="s">
        <v>43</v>
      </c>
      <c r="T22" s="25" t="str">
        <f>H10</f>
        <v>9 gauge</v>
      </c>
      <c r="W22" s="11"/>
      <c r="AE22"/>
    </row>
    <row r="23" spans="3:31" ht="15" x14ac:dyDescent="0.25">
      <c r="C23"/>
      <c r="M23" s="10"/>
      <c r="N23"/>
      <c r="S23" s="3" t="s">
        <v>7</v>
      </c>
      <c r="T23" s="16">
        <f>H11</f>
        <v>16</v>
      </c>
      <c r="W23" s="11"/>
      <c r="AE23"/>
    </row>
    <row r="24" spans="3:31" ht="18" x14ac:dyDescent="0.3">
      <c r="C24"/>
      <c r="D24" s="1" t="s">
        <v>176</v>
      </c>
      <c r="H24" s="22" t="s">
        <v>46</v>
      </c>
      <c r="M24" s="12"/>
      <c r="N24" s="37"/>
      <c r="O24" s="13"/>
      <c r="P24" s="13"/>
      <c r="Q24" s="13"/>
      <c r="R24" s="13"/>
      <c r="S24" s="38" t="s">
        <v>216</v>
      </c>
      <c r="T24" s="39">
        <f>H12</f>
        <v>70000</v>
      </c>
      <c r="U24" s="13"/>
      <c r="V24" s="13"/>
      <c r="W24" s="14"/>
    </row>
    <row r="25" spans="3:31" ht="15" x14ac:dyDescent="0.25">
      <c r="C25"/>
      <c r="G25" s="3" t="s">
        <v>38</v>
      </c>
      <c r="H25" s="55">
        <v>0</v>
      </c>
      <c r="M25" s="34" t="s">
        <v>173</v>
      </c>
      <c r="N25" s="8"/>
      <c r="O25" s="8"/>
      <c r="P25" s="8"/>
      <c r="Q25" s="8"/>
      <c r="R25" s="8"/>
      <c r="S25" s="8"/>
      <c r="T25" s="8"/>
      <c r="U25" s="8"/>
      <c r="V25" s="8"/>
      <c r="W25" s="40"/>
    </row>
    <row r="26" spans="3:31" ht="15" x14ac:dyDescent="0.25">
      <c r="C26"/>
      <c r="G26" s="3" t="s">
        <v>39</v>
      </c>
      <c r="H26" s="55">
        <v>0</v>
      </c>
      <c r="M26" s="10"/>
      <c r="P26" s="5" t="s">
        <v>50</v>
      </c>
      <c r="Q26" s="7" t="str">
        <f>H35</f>
        <v>Enclosed or Partially Open</v>
      </c>
      <c r="V26" s="3" t="s">
        <v>10</v>
      </c>
      <c r="W26" s="41">
        <f>H30</f>
        <v>120</v>
      </c>
    </row>
    <row r="27" spans="3:31" x14ac:dyDescent="0.2">
      <c r="D27" s="1" t="s">
        <v>177</v>
      </c>
      <c r="H27" s="57"/>
      <c r="M27" s="10"/>
      <c r="P27" s="3" t="s">
        <v>38</v>
      </c>
      <c r="Q27" s="18">
        <f>H25</f>
        <v>0</v>
      </c>
      <c r="V27" s="3" t="s">
        <v>0</v>
      </c>
      <c r="W27" s="42" t="str">
        <f>H31</f>
        <v>B</v>
      </c>
    </row>
    <row r="28" spans="3:31" ht="16.5" x14ac:dyDescent="0.2">
      <c r="G28" s="3" t="s">
        <v>47</v>
      </c>
      <c r="H28" s="55">
        <v>5</v>
      </c>
      <c r="M28" s="10"/>
      <c r="P28" s="3" t="s">
        <v>39</v>
      </c>
      <c r="Q28" s="18">
        <f>H26</f>
        <v>0</v>
      </c>
      <c r="V28" s="3" t="s">
        <v>48</v>
      </c>
      <c r="W28" s="42">
        <f>H32</f>
        <v>0</v>
      </c>
    </row>
    <row r="29" spans="3:31" ht="16.5" x14ac:dyDescent="0.2">
      <c r="D29" s="1" t="s">
        <v>178</v>
      </c>
      <c r="H29" s="57"/>
      <c r="M29" s="10"/>
      <c r="P29" s="3" t="s">
        <v>47</v>
      </c>
      <c r="Q29" s="18">
        <f>H28</f>
        <v>5</v>
      </c>
      <c r="V29" s="3" t="s">
        <v>49</v>
      </c>
      <c r="W29" s="41">
        <f>H33</f>
        <v>30</v>
      </c>
    </row>
    <row r="30" spans="3:31" ht="17.25" x14ac:dyDescent="0.3">
      <c r="G30" s="3" t="s">
        <v>10</v>
      </c>
      <c r="H30" s="55">
        <v>120</v>
      </c>
      <c r="M30" s="10"/>
      <c r="P30" s="5" t="s">
        <v>11</v>
      </c>
      <c r="Q30" s="7">
        <f>H34</f>
        <v>1.2</v>
      </c>
      <c r="V30" s="3" t="s">
        <v>2</v>
      </c>
      <c r="W30" s="43" t="str">
        <f>H39</f>
        <v>C</v>
      </c>
    </row>
    <row r="31" spans="3:31" ht="17.25" x14ac:dyDescent="0.3">
      <c r="G31" s="3" t="s">
        <v>0</v>
      </c>
      <c r="H31" s="52" t="s">
        <v>209</v>
      </c>
      <c r="M31" s="10"/>
      <c r="P31" s="3" t="s">
        <v>53</v>
      </c>
      <c r="Q31" s="6">
        <f>H38</f>
        <v>1</v>
      </c>
      <c r="V31" s="3" t="s">
        <v>52</v>
      </c>
      <c r="W31" s="44">
        <f>H37</f>
        <v>0.4</v>
      </c>
    </row>
    <row r="32" spans="3:31" x14ac:dyDescent="0.2">
      <c r="G32" s="3" t="s">
        <v>48</v>
      </c>
      <c r="H32" s="52">
        <v>0</v>
      </c>
      <c r="M32" s="10"/>
      <c r="V32" s="3" t="s">
        <v>54</v>
      </c>
      <c r="W32" s="42">
        <f>H40</f>
        <v>0</v>
      </c>
    </row>
    <row r="33" spans="3:23" ht="16.5" x14ac:dyDescent="0.2">
      <c r="G33" s="3" t="s">
        <v>49</v>
      </c>
      <c r="H33" s="55">
        <v>30</v>
      </c>
      <c r="M33" s="10"/>
      <c r="S33" s="3" t="s">
        <v>55</v>
      </c>
      <c r="T33" s="6">
        <f>'Design Checks'!G19</f>
        <v>4.7377612799999991</v>
      </c>
      <c r="W33" s="11"/>
    </row>
    <row r="34" spans="3:23" ht="18" x14ac:dyDescent="0.3">
      <c r="G34" s="5" t="s">
        <v>11</v>
      </c>
      <c r="H34" s="53">
        <v>1.2</v>
      </c>
      <c r="M34" s="10"/>
      <c r="S34" s="3" t="s">
        <v>12</v>
      </c>
      <c r="T34" s="6">
        <f>'Design Checks'!G33</f>
        <v>1.8051282051282049</v>
      </c>
      <c r="W34" s="11"/>
    </row>
    <row r="35" spans="3:23" ht="16.5" x14ac:dyDescent="0.2">
      <c r="G35" s="5" t="s">
        <v>50</v>
      </c>
      <c r="H35" s="53" t="s">
        <v>51</v>
      </c>
      <c r="M35" s="10"/>
      <c r="S35" s="3" t="s">
        <v>220</v>
      </c>
      <c r="T35" s="6">
        <f>'Design Checks'!G39</f>
        <v>9.7377612799999991</v>
      </c>
      <c r="W35" s="11"/>
    </row>
    <row r="36" spans="3:23" x14ac:dyDescent="0.2">
      <c r="D36" s="1" t="s">
        <v>179</v>
      </c>
      <c r="H36" s="57"/>
      <c r="M36" s="12"/>
      <c r="N36" s="13"/>
      <c r="O36" s="13"/>
      <c r="P36" s="13"/>
      <c r="Q36" s="13"/>
      <c r="R36" s="13"/>
      <c r="S36" s="38" t="s">
        <v>180</v>
      </c>
      <c r="T36" s="39">
        <f>'Design Checks'!O147</f>
        <v>58.426567679999991</v>
      </c>
      <c r="U36" s="13"/>
      <c r="V36" s="13"/>
      <c r="W36" s="14"/>
    </row>
    <row r="37" spans="3:23" ht="17.25" x14ac:dyDescent="0.3">
      <c r="G37" s="3" t="s">
        <v>52</v>
      </c>
      <c r="H37" s="53">
        <v>0.4</v>
      </c>
      <c r="M37" s="34" t="s">
        <v>174</v>
      </c>
      <c r="N37" s="35"/>
      <c r="O37" s="8"/>
      <c r="P37" s="8"/>
      <c r="Q37" s="8"/>
      <c r="R37" s="8"/>
      <c r="S37" s="35"/>
      <c r="T37" s="35"/>
      <c r="U37" s="8"/>
      <c r="V37" s="8"/>
      <c r="W37" s="40"/>
    </row>
    <row r="38" spans="3:23" ht="17.25" x14ac:dyDescent="0.3">
      <c r="G38" s="3" t="s">
        <v>53</v>
      </c>
      <c r="H38" s="58">
        <v>1</v>
      </c>
      <c r="M38" s="10"/>
      <c r="N38"/>
      <c r="S38" s="3" t="s">
        <v>163</v>
      </c>
      <c r="T38" s="51">
        <f>'Design Checks'!O522</f>
        <v>120</v>
      </c>
      <c r="W38" s="36"/>
    </row>
    <row r="39" spans="3:23" ht="15" x14ac:dyDescent="0.25">
      <c r="G39" s="3" t="s">
        <v>2</v>
      </c>
      <c r="H39" s="58" t="s">
        <v>223</v>
      </c>
      <c r="M39" s="10"/>
      <c r="N39"/>
      <c r="S39" s="3" t="s">
        <v>164</v>
      </c>
      <c r="T39" s="23" t="str">
        <f>'Design Checks'!O512</f>
        <v>OK</v>
      </c>
      <c r="W39" s="36"/>
    </row>
    <row r="40" spans="3:23" ht="15" x14ac:dyDescent="0.25">
      <c r="G40" s="3" t="s">
        <v>54</v>
      </c>
      <c r="H40" s="52">
        <v>0</v>
      </c>
      <c r="M40" s="10"/>
      <c r="N40"/>
      <c r="S40" s="3" t="s">
        <v>165</v>
      </c>
      <c r="T40" s="45">
        <f>'Design Checks'!O513</f>
        <v>0.65017750816627862</v>
      </c>
      <c r="W40" s="36"/>
    </row>
    <row r="41" spans="3:23" x14ac:dyDescent="0.2">
      <c r="M41" s="10"/>
      <c r="S41" s="3" t="s">
        <v>166</v>
      </c>
      <c r="T41" s="45">
        <f>'Design Checks'!O514</f>
        <v>0.33239020787790313</v>
      </c>
      <c r="W41" s="11"/>
    </row>
    <row r="42" spans="3:23" x14ac:dyDescent="0.2">
      <c r="M42" s="10"/>
      <c r="S42" s="3" t="s">
        <v>167</v>
      </c>
      <c r="T42" s="45">
        <f>'Design Checks'!O515</f>
        <v>1.2986442405288611E-2</v>
      </c>
      <c r="W42" s="11"/>
    </row>
    <row r="43" spans="3:23" ht="15" x14ac:dyDescent="0.25">
      <c r="C43"/>
      <c r="D43"/>
      <c r="E43"/>
      <c r="F43"/>
      <c r="G43"/>
      <c r="J43"/>
      <c r="K43"/>
      <c r="M43" s="12"/>
      <c r="N43" s="13"/>
      <c r="O43" s="13"/>
      <c r="P43" s="13"/>
      <c r="Q43" s="13"/>
      <c r="R43" s="13"/>
      <c r="S43" s="38" t="s">
        <v>168</v>
      </c>
      <c r="T43" s="46">
        <f>'Design Checks'!O516</f>
        <v>1.8545775907559448E-2</v>
      </c>
      <c r="U43" s="37"/>
      <c r="V43" s="37"/>
      <c r="W43" s="14"/>
    </row>
    <row r="44" spans="3:23" ht="15" x14ac:dyDescent="0.25">
      <c r="C44"/>
      <c r="D44"/>
      <c r="E44"/>
      <c r="F44"/>
      <c r="G44"/>
      <c r="J44"/>
      <c r="K44"/>
    </row>
    <row r="45" spans="3:23" ht="15" x14ac:dyDescent="0.25">
      <c r="C45"/>
      <c r="D45"/>
      <c r="E45"/>
      <c r="F45"/>
      <c r="G45"/>
      <c r="J45"/>
      <c r="K45"/>
      <c r="S45"/>
      <c r="T45"/>
    </row>
    <row r="46" spans="3:23" ht="15" x14ac:dyDescent="0.25">
      <c r="C46"/>
      <c r="D46"/>
      <c r="E46"/>
      <c r="F46"/>
      <c r="G46"/>
      <c r="J46"/>
      <c r="K46"/>
    </row>
    <row r="47" spans="3:23" ht="15" x14ac:dyDescent="0.25">
      <c r="C47"/>
      <c r="D47"/>
      <c r="E47"/>
      <c r="F47"/>
      <c r="G47"/>
      <c r="J47"/>
      <c r="K47"/>
    </row>
    <row r="48" spans="3:23" ht="15" x14ac:dyDescent="0.25">
      <c r="C48"/>
      <c r="D48"/>
      <c r="E48"/>
      <c r="F48"/>
      <c r="G48"/>
      <c r="J48"/>
      <c r="K48"/>
    </row>
    <row r="49" spans="3:22" ht="15" x14ac:dyDescent="0.25">
      <c r="C49"/>
      <c r="D49"/>
      <c r="E49"/>
      <c r="F49"/>
      <c r="G49"/>
      <c r="J49"/>
      <c r="K49"/>
    </row>
    <row r="50" spans="3:22" ht="15" x14ac:dyDescent="0.25">
      <c r="C50"/>
      <c r="D50"/>
      <c r="E50"/>
      <c r="F50"/>
      <c r="G50"/>
      <c r="J50"/>
      <c r="K50"/>
    </row>
    <row r="51" spans="3:22" ht="15" x14ac:dyDescent="0.25">
      <c r="D51"/>
      <c r="E51"/>
      <c r="F51"/>
      <c r="G51"/>
      <c r="J51"/>
      <c r="K51"/>
      <c r="U51"/>
      <c r="V51"/>
    </row>
    <row r="52" spans="3:22" ht="15" x14ac:dyDescent="0.25">
      <c r="D52"/>
      <c r="E52"/>
      <c r="F52"/>
      <c r="G52"/>
      <c r="J52"/>
      <c r="K52"/>
      <c r="U52"/>
      <c r="V52"/>
    </row>
    <row r="53" spans="3:22" ht="15" x14ac:dyDescent="0.25">
      <c r="D53"/>
      <c r="E53"/>
      <c r="F53"/>
      <c r="G53"/>
      <c r="H53"/>
      <c r="I53"/>
      <c r="J53"/>
      <c r="K53"/>
      <c r="U53"/>
      <c r="V53"/>
    </row>
    <row r="54" spans="3:22" ht="15" x14ac:dyDescent="0.25">
      <c r="D54"/>
      <c r="E54"/>
      <c r="F54"/>
      <c r="G54"/>
      <c r="H54"/>
      <c r="I54"/>
      <c r="J54"/>
      <c r="K54"/>
    </row>
    <row r="55" spans="3:22" ht="15" x14ac:dyDescent="0.25">
      <c r="D55"/>
      <c r="E55"/>
      <c r="F55"/>
      <c r="G55"/>
      <c r="H55"/>
      <c r="I55"/>
      <c r="J55"/>
      <c r="K55"/>
    </row>
    <row r="56" spans="3:22" ht="15" x14ac:dyDescent="0.25">
      <c r="D56"/>
      <c r="E56"/>
      <c r="F56"/>
      <c r="G56"/>
      <c r="H56"/>
      <c r="I56"/>
      <c r="J56"/>
      <c r="K56"/>
    </row>
    <row r="57" spans="3:22" ht="15" x14ac:dyDescent="0.25">
      <c r="D57"/>
      <c r="E57"/>
      <c r="F57"/>
      <c r="G57"/>
      <c r="H57"/>
      <c r="I57"/>
      <c r="J57"/>
      <c r="K57"/>
    </row>
    <row r="58" spans="3:22" ht="15" x14ac:dyDescent="0.25">
      <c r="D58"/>
      <c r="E58"/>
      <c r="F58"/>
      <c r="G58"/>
      <c r="H58"/>
      <c r="I58"/>
      <c r="J58"/>
      <c r="K58"/>
    </row>
    <row r="59" spans="3:22" ht="15" x14ac:dyDescent="0.25">
      <c r="D59"/>
      <c r="E59"/>
      <c r="F59"/>
      <c r="G59"/>
      <c r="H59"/>
      <c r="I59"/>
      <c r="J59"/>
      <c r="K59"/>
    </row>
    <row r="60" spans="3:22" ht="15" x14ac:dyDescent="0.25">
      <c r="D60"/>
      <c r="E60"/>
      <c r="F60"/>
      <c r="G60"/>
      <c r="H60"/>
      <c r="I60"/>
      <c r="J60"/>
      <c r="K60"/>
    </row>
  </sheetData>
  <sheetProtection algorithmName="SHA-512" hashValue="6N6fHe8XpPxANhkkS6IpbtlOLZ3YozjUlCKKfR4Errk4uUQ76yEbP3+BRckeGmGTkDs1GB+iZG+NtCaLPc1U7Q==" saltValue="2r8ylIFuuidmcLbdszx8OA==" spinCount="100000" sheet="1" objects="1" scenarios="1"/>
  <mergeCells count="1">
    <mergeCell ref="P3:W7"/>
  </mergeCells>
  <dataValidations count="14">
    <dataValidation type="list" allowBlank="1" showInputMessage="1" showErrorMessage="1" sqref="H31" xr:uid="{D7D9D233-F31A-4132-87C5-20533764DF6A}">
      <formula1>"B, C, D"</formula1>
    </dataValidation>
    <dataValidation type="list" allowBlank="1" showInputMessage="1" showErrorMessage="1" sqref="H35" xr:uid="{C3F26D83-8D1C-4EDB-8794-E0EDC117F656}">
      <formula1>"Enclosed or Partially Open, Partially Enclosed"</formula1>
    </dataValidation>
    <dataValidation type="list" allowBlank="1" showInputMessage="1" showErrorMessage="1" sqref="H38" xr:uid="{9EE23B50-A9EB-42A3-BFA2-96E1F3789886}">
      <formula1>"1.0, 1.5"</formula1>
    </dataValidation>
    <dataValidation type="list" allowBlank="1" showInputMessage="1" showErrorMessage="1" sqref="H39" xr:uid="{BBFB3D72-9F7B-4731-BD9C-410EACC01BD3}">
      <formula1>"A, B, C, D"</formula1>
    </dataValidation>
    <dataValidation type="list" allowBlank="1" showInputMessage="1" showErrorMessage="1" sqref="H4" xr:uid="{985DF39B-A296-4359-8CD2-2F19866CA29F}">
      <formula1>"Select Nominal Wall Thickness, 6, 8, 10, 12, 14, 16"</formula1>
    </dataValidation>
    <dataValidation type="list" allowBlank="1" showInputMessage="1" showErrorMessage="1" sqref="H5" xr:uid="{D8E8AA8A-691C-4090-8440-BE6760FC7BD7}">
      <formula1>"Select Vertical Reinforcement Size, 3, 4, 5, 6, 7, 8, 9, 10, 11"</formula1>
    </dataValidation>
    <dataValidation type="list" allowBlank="1" showInputMessage="1" showErrorMessage="1" sqref="H11" xr:uid="{EAEA3BB8-2FEE-4BF4-912C-3F99DF6AB1B0}">
      <formula1>"4, 8, 12, 16"</formula1>
    </dataValidation>
    <dataValidation type="list" allowBlank="1" showInputMessage="1" showErrorMessage="1" sqref="H9" xr:uid="{4912192D-2B49-43E7-A1A8-43047E6F04E6}">
      <formula1>"40000, 60000"</formula1>
    </dataValidation>
    <dataValidation type="list" allowBlank="1" showInputMessage="1" showErrorMessage="1" sqref="H10" xr:uid="{B3D3B596-1D65-4414-94E3-799E8F44688E}">
      <formula1>"9 gauge, 3/16 in."</formula1>
    </dataValidation>
    <dataValidation type="list" allowBlank="1" showInputMessage="1" showErrorMessage="1" sqref="H15" xr:uid="{E89B8C6E-874A-407B-BD09-9CBFB0C53E63}">
      <formula1>"Type S PCL or Mortar Cement, Type N PCL or Mortar Cement"</formula1>
    </dataValidation>
    <dataValidation type="list" allowBlank="1" showInputMessage="1" showErrorMessage="1" sqref="H33" xr:uid="{93588C3C-928D-47B0-9AF3-73D119001E77}">
      <formula1>"15, 20, 25, 30, 40, 50, 60, 70, 80, 90, 100"</formula1>
    </dataValidation>
    <dataValidation type="list" allowBlank="1" showInputMessage="1" showErrorMessage="1" sqref="H14" xr:uid="{E8C6004D-2122-4DEB-948E-0A0AB2244177}">
      <formula1>"Lightweight, Medium Weight, Normal Weight"</formula1>
    </dataValidation>
    <dataValidation type="list" allowBlank="1" showInputMessage="1" showErrorMessage="1" sqref="H16" xr:uid="{A808A7D8-486E-4669-92FF-EEE4A1FBB72C}">
      <formula1>"Running Bond"</formula1>
    </dataValidation>
    <dataValidation type="list" allowBlank="1" showInputMessage="1" showErrorMessage="1" sqref="H17" xr:uid="{BE3CDFF4-9FC2-4C7D-8690-06AC402ECEC0}">
      <formula1>"Partial, Fully"</formula1>
    </dataValidation>
  </dataValidations>
  <printOptions horizontalCentered="1"/>
  <pageMargins left="0.7" right="0.7" top="0.75" bottom="0.75" header="0.3" footer="0.3"/>
  <pageSetup scale="73" orientation="portrait" horizontalDpi="1200" verticalDpi="1200" r:id="rId1"/>
  <headerFooter>
    <oddFooter>&amp;L&amp;"Cambria,Regular"Block Design Collective&amp;C&amp;"Cambria,Regular"Partition Wall Calculator&amp;R&amp;"Cambria,Regular"Ver. 1.2: May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D003-C8C0-4F4F-A7AD-0F62AB15887E}">
  <dimension ref="A2:AP527"/>
  <sheetViews>
    <sheetView zoomScaleNormal="100" workbookViewId="0"/>
  </sheetViews>
  <sheetFormatPr defaultColWidth="8.7109375" defaultRowHeight="14.25" x14ac:dyDescent="0.2"/>
  <cols>
    <col min="1" max="6" width="9.5703125" style="2" customWidth="1"/>
    <col min="7" max="7" width="11.28515625" style="2" customWidth="1"/>
    <col min="8" max="14" width="9.5703125" style="2" customWidth="1"/>
    <col min="15" max="15" width="12.85546875" style="2" customWidth="1"/>
    <col min="16" max="20" width="13.5703125" style="2" customWidth="1"/>
    <col min="21" max="21" width="15.42578125" style="2" customWidth="1"/>
    <col min="22" max="23" width="13.85546875" style="2" customWidth="1"/>
    <col min="24" max="24" width="14.140625" style="2" customWidth="1"/>
    <col min="25" max="25" width="9.85546875" style="2" customWidth="1"/>
    <col min="26" max="26" width="15.140625" style="2" customWidth="1"/>
    <col min="27" max="27" width="14.140625" style="2" customWidth="1"/>
    <col min="28" max="28" width="8.7109375" style="2" customWidth="1"/>
    <col min="29" max="29" width="14.42578125" style="2" customWidth="1"/>
    <col min="30" max="30" width="10.42578125" style="2" customWidth="1"/>
    <col min="31" max="31" width="15.85546875" style="2" customWidth="1"/>
    <col min="32" max="34" width="8.7109375" style="2" customWidth="1"/>
    <col min="35" max="35" width="16.140625" style="2" customWidth="1"/>
    <col min="36" max="36" width="8.7109375" style="2" customWidth="1"/>
    <col min="37" max="37" width="9.7109375" style="2" customWidth="1"/>
    <col min="38" max="41" width="8.7109375" style="2"/>
    <col min="42" max="42" width="11.85546875" style="2" customWidth="1"/>
    <col min="43" max="16384" width="8.7109375" style="2"/>
  </cols>
  <sheetData>
    <row r="2" spans="1:38" ht="15.95" customHeight="1" x14ac:dyDescent="0.25">
      <c r="A2" s="24" t="s">
        <v>46</v>
      </c>
      <c r="P2" s="47" t="s">
        <v>63</v>
      </c>
      <c r="R2"/>
      <c r="S2"/>
      <c r="T2"/>
      <c r="U2"/>
      <c r="V2"/>
      <c r="W2"/>
      <c r="X2"/>
      <c r="Y2"/>
      <c r="Z2"/>
      <c r="AA2"/>
      <c r="AB2"/>
      <c r="AC2"/>
      <c r="AD2"/>
      <c r="AE2"/>
      <c r="AF2"/>
      <c r="AG2"/>
      <c r="AH2"/>
      <c r="AI2"/>
      <c r="AJ2"/>
      <c r="AK2"/>
      <c r="AL2"/>
    </row>
    <row r="3" spans="1:38" ht="14.45" customHeight="1" x14ac:dyDescent="0.25">
      <c r="B3" s="1" t="s">
        <v>56</v>
      </c>
      <c r="O3" s="47" t="s">
        <v>62</v>
      </c>
      <c r="P3" s="47"/>
      <c r="R3"/>
      <c r="S3"/>
      <c r="T3"/>
      <c r="U3"/>
      <c r="V3"/>
      <c r="W3"/>
      <c r="X3"/>
      <c r="Y3"/>
      <c r="Z3"/>
      <c r="AA3"/>
      <c r="AB3"/>
      <c r="AC3"/>
      <c r="AD3"/>
      <c r="AE3"/>
      <c r="AF3"/>
      <c r="AG3"/>
      <c r="AH3"/>
      <c r="AI3"/>
      <c r="AJ3"/>
      <c r="AK3"/>
      <c r="AL3"/>
    </row>
    <row r="4" spans="1:38" ht="15" x14ac:dyDescent="0.25">
      <c r="F4" s="3" t="s">
        <v>38</v>
      </c>
      <c r="G4" s="16">
        <f>'User Inputs and Report'!H25</f>
        <v>0</v>
      </c>
      <c r="O4" s="48"/>
      <c r="P4" s="48"/>
      <c r="R4"/>
      <c r="S4"/>
      <c r="T4"/>
      <c r="U4"/>
      <c r="V4"/>
      <c r="W4"/>
      <c r="X4"/>
      <c r="Y4"/>
      <c r="Z4"/>
      <c r="AA4"/>
      <c r="AB4"/>
      <c r="AC4"/>
      <c r="AD4"/>
      <c r="AE4"/>
      <c r="AF4"/>
      <c r="AG4"/>
      <c r="AH4"/>
      <c r="AI4"/>
      <c r="AJ4"/>
      <c r="AK4"/>
      <c r="AL4"/>
    </row>
    <row r="5" spans="1:38" ht="15" x14ac:dyDescent="0.25">
      <c r="F5" s="3" t="s">
        <v>39</v>
      </c>
      <c r="G5" s="16">
        <f>'User Inputs and Report'!H26</f>
        <v>0</v>
      </c>
      <c r="O5" s="4">
        <v>15</v>
      </c>
      <c r="P5" s="15">
        <f>IF($G$9="B",0.7,IF($G$9="C",0.85,1.03))</f>
        <v>0.7</v>
      </c>
      <c r="R5"/>
      <c r="S5"/>
      <c r="T5"/>
      <c r="U5"/>
      <c r="V5"/>
      <c r="W5"/>
      <c r="X5"/>
      <c r="Y5"/>
      <c r="Z5"/>
      <c r="AA5"/>
      <c r="AB5"/>
      <c r="AC5"/>
      <c r="AD5"/>
      <c r="AE5"/>
      <c r="AF5"/>
      <c r="AG5"/>
      <c r="AH5"/>
      <c r="AI5"/>
      <c r="AJ5"/>
      <c r="AK5"/>
      <c r="AL5"/>
    </row>
    <row r="6" spans="1:38" ht="17.25" x14ac:dyDescent="0.25">
      <c r="F6" s="3" t="s">
        <v>47</v>
      </c>
      <c r="G6" s="16">
        <f>'User Inputs and Report'!H28</f>
        <v>5</v>
      </c>
      <c r="O6" s="4">
        <v>20</v>
      </c>
      <c r="P6" s="15">
        <f>IF($G$9="B",0.7,IF($G$9="C",0.9,1.08))</f>
        <v>0.7</v>
      </c>
      <c r="R6"/>
      <c r="S6"/>
      <c r="T6"/>
      <c r="U6"/>
      <c r="V6"/>
      <c r="W6"/>
      <c r="X6"/>
      <c r="Y6"/>
      <c r="Z6"/>
      <c r="AA6"/>
      <c r="AB6"/>
      <c r="AC6"/>
      <c r="AD6"/>
      <c r="AE6"/>
      <c r="AF6"/>
      <c r="AG6"/>
      <c r="AH6"/>
      <c r="AI6"/>
      <c r="AJ6"/>
      <c r="AK6"/>
      <c r="AL6"/>
    </row>
    <row r="7" spans="1:38" ht="15" x14ac:dyDescent="0.25">
      <c r="B7" s="1" t="s">
        <v>75</v>
      </c>
      <c r="O7" s="4">
        <v>25</v>
      </c>
      <c r="P7" s="15">
        <f>IF($G$9="B",0.7,IF($G$9="C",0.94,1.12))</f>
        <v>0.7</v>
      </c>
      <c r="R7"/>
      <c r="S7"/>
      <c r="T7"/>
      <c r="U7"/>
      <c r="V7"/>
      <c r="W7"/>
      <c r="X7"/>
      <c r="Y7"/>
      <c r="Z7"/>
      <c r="AA7"/>
      <c r="AB7"/>
      <c r="AC7"/>
      <c r="AD7"/>
      <c r="AE7"/>
      <c r="AF7"/>
      <c r="AG7"/>
      <c r="AH7"/>
      <c r="AI7"/>
      <c r="AJ7"/>
      <c r="AK7"/>
      <c r="AL7"/>
    </row>
    <row r="8" spans="1:38" ht="15" x14ac:dyDescent="0.25">
      <c r="F8" s="3" t="s">
        <v>10</v>
      </c>
      <c r="G8" s="16">
        <f>'User Inputs and Report'!H30</f>
        <v>120</v>
      </c>
      <c r="O8" s="4">
        <v>30</v>
      </c>
      <c r="P8" s="15">
        <f>IF($G$9="B",0.7,IF($G$9="C",0.98,1.16))</f>
        <v>0.7</v>
      </c>
      <c r="R8"/>
      <c r="S8"/>
      <c r="T8"/>
      <c r="U8"/>
      <c r="V8"/>
      <c r="W8"/>
      <c r="X8"/>
      <c r="Y8"/>
      <c r="Z8"/>
      <c r="AA8"/>
      <c r="AB8"/>
      <c r="AC8"/>
      <c r="AD8"/>
      <c r="AE8"/>
      <c r="AF8"/>
      <c r="AG8"/>
      <c r="AH8"/>
      <c r="AI8"/>
      <c r="AJ8"/>
      <c r="AK8"/>
      <c r="AL8"/>
    </row>
    <row r="9" spans="1:38" ht="15" x14ac:dyDescent="0.25">
      <c r="F9" s="3" t="s">
        <v>0</v>
      </c>
      <c r="G9" s="16" t="str">
        <f>'User Inputs and Report'!H31</f>
        <v>B</v>
      </c>
      <c r="O9" s="4">
        <v>40</v>
      </c>
      <c r="P9" s="15">
        <f>IF($G$9="B",0.74,IF($G$9="C",1.04,1.22))</f>
        <v>0.74</v>
      </c>
      <c r="R9"/>
      <c r="S9"/>
      <c r="T9"/>
      <c r="U9"/>
      <c r="V9"/>
      <c r="W9"/>
      <c r="X9"/>
      <c r="Y9"/>
      <c r="Z9"/>
      <c r="AA9"/>
      <c r="AB9"/>
      <c r="AC9"/>
      <c r="AD9"/>
      <c r="AE9"/>
      <c r="AF9"/>
      <c r="AG9"/>
      <c r="AH9"/>
      <c r="AI9"/>
      <c r="AJ9"/>
      <c r="AK9"/>
      <c r="AL9"/>
    </row>
    <row r="10" spans="1:38" ht="15" x14ac:dyDescent="0.25">
      <c r="F10" s="3" t="s">
        <v>48</v>
      </c>
      <c r="G10" s="16">
        <f>'User Inputs and Report'!H32</f>
        <v>0</v>
      </c>
      <c r="O10" s="4">
        <v>50</v>
      </c>
      <c r="P10" s="15">
        <f>IF($G$9="B",0.79,IF($G$9="C",1.09,1.27))</f>
        <v>0.79</v>
      </c>
      <c r="R10"/>
      <c r="S10"/>
      <c r="T10"/>
      <c r="U10"/>
      <c r="V10"/>
      <c r="W10"/>
      <c r="X10"/>
      <c r="Y10"/>
      <c r="Z10"/>
      <c r="AA10"/>
      <c r="AB10"/>
      <c r="AC10"/>
      <c r="AD10"/>
      <c r="AE10"/>
      <c r="AF10"/>
      <c r="AG10"/>
      <c r="AH10"/>
      <c r="AI10"/>
      <c r="AJ10"/>
      <c r="AK10"/>
      <c r="AL10"/>
    </row>
    <row r="11" spans="1:38" ht="17.25" x14ac:dyDescent="0.3">
      <c r="F11" s="3" t="s">
        <v>40</v>
      </c>
      <c r="G11" s="16">
        <f>EXP(-0.0000362*G10)</f>
        <v>1</v>
      </c>
      <c r="O11" s="4">
        <v>60</v>
      </c>
      <c r="P11" s="15">
        <f>IF($G$9="B",0.83,IF($G$9="C",1.13,1.31))</f>
        <v>0.83</v>
      </c>
      <c r="R11"/>
      <c r="S11"/>
      <c r="T11"/>
      <c r="U11"/>
      <c r="V11"/>
      <c r="W11"/>
      <c r="X11"/>
      <c r="Y11"/>
      <c r="Z11"/>
      <c r="AA11"/>
      <c r="AB11"/>
      <c r="AC11"/>
      <c r="AD11"/>
      <c r="AE11"/>
      <c r="AF11"/>
      <c r="AG11"/>
      <c r="AH11"/>
      <c r="AI11"/>
      <c r="AJ11"/>
      <c r="AK11"/>
      <c r="AL11"/>
    </row>
    <row r="12" spans="1:38" ht="16.5" customHeight="1" x14ac:dyDescent="0.25">
      <c r="F12" s="3" t="s">
        <v>57</v>
      </c>
      <c r="G12" s="16">
        <f>'User Inputs and Report'!H33</f>
        <v>30</v>
      </c>
      <c r="O12" s="4">
        <v>70</v>
      </c>
      <c r="P12" s="15">
        <f>IF($G$9="B",0.86,IF($G$9="C",1.17,1.34))</f>
        <v>0.86</v>
      </c>
      <c r="R12"/>
      <c r="S12"/>
      <c r="T12"/>
      <c r="U12"/>
      <c r="V12"/>
      <c r="W12"/>
      <c r="X12"/>
      <c r="Y12"/>
      <c r="Z12"/>
      <c r="AA12"/>
      <c r="AB12"/>
      <c r="AC12"/>
      <c r="AD12"/>
      <c r="AE12"/>
      <c r="AF12"/>
      <c r="AG12"/>
      <c r="AH12"/>
      <c r="AI12"/>
      <c r="AJ12"/>
      <c r="AK12"/>
      <c r="AL12"/>
    </row>
    <row r="13" spans="1:38" ht="17.25" x14ac:dyDescent="0.3">
      <c r="F13" s="5" t="s">
        <v>11</v>
      </c>
      <c r="G13" s="16">
        <f>'User Inputs and Report'!H34</f>
        <v>1.2</v>
      </c>
      <c r="O13" s="4">
        <v>80</v>
      </c>
      <c r="P13" s="15">
        <f>IF($G$9="B",0.9,IF($G$9="C",1.21,1.38))</f>
        <v>0.9</v>
      </c>
      <c r="R13"/>
      <c r="S13"/>
      <c r="T13"/>
      <c r="U13"/>
      <c r="V13"/>
      <c r="W13"/>
      <c r="X13"/>
      <c r="Y13"/>
      <c r="Z13"/>
      <c r="AA13"/>
      <c r="AB13"/>
      <c r="AC13"/>
      <c r="AD13"/>
      <c r="AE13"/>
      <c r="AF13"/>
      <c r="AG13"/>
      <c r="AH13"/>
      <c r="AI13"/>
      <c r="AJ13"/>
      <c r="AK13"/>
      <c r="AL13"/>
    </row>
    <row r="14" spans="1:38" ht="16.5" customHeight="1" x14ac:dyDescent="0.3">
      <c r="F14" s="3" t="s">
        <v>58</v>
      </c>
      <c r="G14" s="7">
        <f>_xlfn.XLOOKUP(G12,O5:O15,P5:P15)</f>
        <v>0.7</v>
      </c>
      <c r="O14" s="4">
        <v>90</v>
      </c>
      <c r="P14" s="15">
        <f>IF($G$9="B",0.92,IF($G$9="C",1.24,1.4))</f>
        <v>0.92</v>
      </c>
      <c r="R14"/>
      <c r="S14"/>
      <c r="T14"/>
      <c r="U14"/>
      <c r="V14"/>
      <c r="W14"/>
      <c r="X14"/>
      <c r="Y14"/>
      <c r="Z14"/>
      <c r="AA14"/>
      <c r="AB14"/>
      <c r="AC14"/>
      <c r="AD14"/>
      <c r="AE14"/>
      <c r="AF14"/>
      <c r="AG14"/>
      <c r="AH14"/>
      <c r="AI14"/>
      <c r="AJ14"/>
      <c r="AK14"/>
      <c r="AL14"/>
    </row>
    <row r="15" spans="1:38" ht="17.25" x14ac:dyDescent="0.25">
      <c r="F15" s="3" t="s">
        <v>59</v>
      </c>
      <c r="G15" s="6">
        <f>0.00256*G14*G13*G11*(G8^2)</f>
        <v>30.965759999999996</v>
      </c>
      <c r="O15" s="4">
        <v>100</v>
      </c>
      <c r="P15" s="15">
        <f>IF($G$9="B",0.95,IF($G$9="C",1.26,1.43))</f>
        <v>0.95</v>
      </c>
      <c r="R15"/>
      <c r="S15"/>
      <c r="T15"/>
      <c r="U15"/>
      <c r="V15"/>
      <c r="W15"/>
      <c r="X15"/>
      <c r="Y15"/>
      <c r="Z15"/>
      <c r="AA15"/>
      <c r="AB15"/>
      <c r="AC15"/>
      <c r="AD15"/>
      <c r="AE15"/>
      <c r="AF15"/>
      <c r="AG15"/>
      <c r="AH15"/>
      <c r="AI15"/>
      <c r="AJ15"/>
      <c r="AK15"/>
      <c r="AL15"/>
    </row>
    <row r="16" spans="1:38" ht="15" x14ac:dyDescent="0.25">
      <c r="F16" s="5" t="s">
        <v>50</v>
      </c>
      <c r="G16" s="2" t="str">
        <f>'User Inputs and Report'!H35</f>
        <v>Enclosed or Partially Open</v>
      </c>
      <c r="R16"/>
      <c r="S16"/>
      <c r="T16"/>
      <c r="U16"/>
      <c r="V16"/>
      <c r="W16"/>
      <c r="X16"/>
      <c r="Y16"/>
      <c r="Z16"/>
      <c r="AA16"/>
      <c r="AB16"/>
      <c r="AC16"/>
      <c r="AD16"/>
      <c r="AE16"/>
      <c r="AF16"/>
      <c r="AG16"/>
      <c r="AH16"/>
      <c r="AI16"/>
      <c r="AJ16"/>
      <c r="AK16"/>
      <c r="AL16"/>
    </row>
    <row r="17" spans="2:38" ht="17.25" x14ac:dyDescent="0.3">
      <c r="F17" s="3" t="s">
        <v>60</v>
      </c>
      <c r="G17" s="7">
        <v>0.85</v>
      </c>
      <c r="R17"/>
      <c r="S17"/>
      <c r="T17"/>
      <c r="U17"/>
      <c r="V17"/>
      <c r="W17"/>
      <c r="X17"/>
      <c r="Y17"/>
      <c r="Z17"/>
      <c r="AA17"/>
      <c r="AB17"/>
      <c r="AC17"/>
      <c r="AD17"/>
      <c r="AE17"/>
      <c r="AF17"/>
      <c r="AG17"/>
      <c r="AH17"/>
      <c r="AI17"/>
      <c r="AJ17"/>
      <c r="AK17"/>
      <c r="AL17"/>
    </row>
    <row r="18" spans="2:38" ht="17.25" x14ac:dyDescent="0.3">
      <c r="F18" s="3" t="s">
        <v>61</v>
      </c>
      <c r="G18" s="7">
        <f>IF(G16="Partially Enclosed",0.55,0.18)</f>
        <v>0.18</v>
      </c>
      <c r="R18"/>
      <c r="S18"/>
      <c r="T18"/>
      <c r="U18"/>
      <c r="V18"/>
      <c r="W18"/>
      <c r="X18"/>
      <c r="Y18"/>
      <c r="Z18"/>
      <c r="AA18"/>
      <c r="AB18"/>
      <c r="AC18"/>
      <c r="AD18"/>
      <c r="AE18"/>
      <c r="AF18"/>
      <c r="AG18"/>
      <c r="AH18"/>
      <c r="AI18"/>
      <c r="AJ18"/>
      <c r="AK18"/>
      <c r="AL18"/>
    </row>
    <row r="19" spans="2:38" ht="17.25" x14ac:dyDescent="0.25">
      <c r="F19" s="3" t="s">
        <v>55</v>
      </c>
      <c r="G19" s="6">
        <f>G18*G17*G15</f>
        <v>4.7377612799999991</v>
      </c>
      <c r="R19"/>
      <c r="S19"/>
      <c r="T19"/>
      <c r="U19"/>
      <c r="V19"/>
      <c r="W19"/>
      <c r="X19"/>
      <c r="Y19"/>
      <c r="Z19"/>
      <c r="AA19"/>
      <c r="AB19"/>
      <c r="AC19"/>
      <c r="AD19"/>
      <c r="AE19"/>
      <c r="AF19"/>
      <c r="AG19"/>
      <c r="AH19"/>
      <c r="AI19"/>
      <c r="AJ19"/>
      <c r="AK19"/>
      <c r="AL19"/>
    </row>
    <row r="20" spans="2:38" ht="15" x14ac:dyDescent="0.25">
      <c r="B20" s="1" t="s">
        <v>76</v>
      </c>
      <c r="W20"/>
      <c r="X20"/>
      <c r="Y20"/>
      <c r="Z20"/>
      <c r="AA20"/>
      <c r="AB20"/>
      <c r="AC20"/>
      <c r="AD20"/>
      <c r="AE20"/>
      <c r="AF20"/>
      <c r="AG20"/>
      <c r="AH20"/>
      <c r="AI20"/>
      <c r="AJ20"/>
      <c r="AK20"/>
      <c r="AL20"/>
    </row>
    <row r="21" spans="2:38" ht="17.25" x14ac:dyDescent="0.3">
      <c r="F21" s="3" t="s">
        <v>74</v>
      </c>
      <c r="G21" s="7">
        <f>'User Inputs and Report'!H37</f>
        <v>0.4</v>
      </c>
      <c r="W21"/>
      <c r="X21"/>
      <c r="Y21"/>
      <c r="Z21"/>
      <c r="AA21"/>
      <c r="AB21"/>
      <c r="AC21"/>
      <c r="AD21"/>
      <c r="AE21"/>
      <c r="AF21"/>
      <c r="AG21"/>
      <c r="AH21"/>
      <c r="AI21"/>
      <c r="AJ21"/>
      <c r="AK21"/>
      <c r="AL21"/>
    </row>
    <row r="22" spans="2:38" ht="17.100000000000001" customHeight="1" x14ac:dyDescent="0.3">
      <c r="F22" s="3" t="s">
        <v>64</v>
      </c>
      <c r="G22" s="7">
        <f>G21*(2/3)</f>
        <v>0.26666666666666666</v>
      </c>
      <c r="W22"/>
      <c r="X22"/>
      <c r="Y22"/>
      <c r="Z22"/>
      <c r="AA22"/>
      <c r="AB22"/>
      <c r="AC22"/>
      <c r="AD22"/>
      <c r="AE22"/>
      <c r="AF22"/>
      <c r="AG22"/>
      <c r="AH22"/>
      <c r="AI22"/>
      <c r="AJ22"/>
      <c r="AK22"/>
      <c r="AL22"/>
    </row>
    <row r="23" spans="2:38" ht="17.100000000000001" customHeight="1" x14ac:dyDescent="0.3">
      <c r="F23" s="3" t="s">
        <v>53</v>
      </c>
      <c r="G23" s="6">
        <f>'User Inputs and Report'!H38</f>
        <v>1</v>
      </c>
      <c r="P23" s="49" t="s">
        <v>73</v>
      </c>
      <c r="Q23" s="49"/>
      <c r="R23" s="49"/>
      <c r="S23" s="49"/>
      <c r="W23"/>
      <c r="X23"/>
      <c r="Y23"/>
      <c r="Z23"/>
      <c r="AA23"/>
      <c r="AB23"/>
      <c r="AC23"/>
      <c r="AD23"/>
      <c r="AE23"/>
      <c r="AF23"/>
      <c r="AG23"/>
      <c r="AH23"/>
      <c r="AI23"/>
      <c r="AJ23"/>
      <c r="AK23"/>
      <c r="AL23"/>
    </row>
    <row r="24" spans="2:38" ht="14.1" customHeight="1" x14ac:dyDescent="0.25">
      <c r="F24" s="3" t="s">
        <v>54</v>
      </c>
      <c r="G24" s="6">
        <f>'User Inputs and Report'!H40</f>
        <v>0</v>
      </c>
      <c r="P24" s="47" t="s">
        <v>69</v>
      </c>
      <c r="Q24" s="47" t="s">
        <v>70</v>
      </c>
      <c r="R24" s="47" t="s">
        <v>71</v>
      </c>
      <c r="S24" s="47" t="s">
        <v>72</v>
      </c>
      <c r="T24" s="47" t="s">
        <v>81</v>
      </c>
      <c r="W24"/>
      <c r="X24"/>
      <c r="Y24"/>
      <c r="Z24"/>
      <c r="AA24"/>
      <c r="AB24"/>
      <c r="AC24"/>
      <c r="AD24"/>
      <c r="AE24"/>
      <c r="AF24"/>
      <c r="AG24"/>
      <c r="AH24"/>
      <c r="AI24"/>
      <c r="AJ24"/>
      <c r="AK24"/>
      <c r="AL24"/>
    </row>
    <row r="25" spans="2:38" ht="17.25" x14ac:dyDescent="0.3">
      <c r="F25" s="3" t="s">
        <v>65</v>
      </c>
      <c r="G25" s="6">
        <f>IF(G24=0,1,(1+2.5*(G24/G12)))</f>
        <v>1</v>
      </c>
      <c r="P25" s="48"/>
      <c r="Q25" s="48"/>
      <c r="R25" s="48"/>
      <c r="S25" s="48"/>
      <c r="T25" s="48"/>
      <c r="W25"/>
      <c r="X25"/>
      <c r="Y25"/>
      <c r="Z25"/>
      <c r="AA25"/>
      <c r="AB25"/>
      <c r="AC25"/>
      <c r="AD25"/>
      <c r="AE25"/>
      <c r="AF25"/>
      <c r="AG25"/>
      <c r="AH25"/>
      <c r="AI25"/>
      <c r="AJ25"/>
      <c r="AK25"/>
      <c r="AL25"/>
    </row>
    <row r="26" spans="2:38" ht="17.25" x14ac:dyDescent="0.3">
      <c r="F26" s="3" t="s">
        <v>66</v>
      </c>
      <c r="G26" s="6">
        <v>1.3</v>
      </c>
      <c r="P26" s="4">
        <v>6</v>
      </c>
      <c r="Q26" s="4">
        <v>30</v>
      </c>
      <c r="R26" s="4">
        <v>33</v>
      </c>
      <c r="S26" s="4">
        <v>36</v>
      </c>
      <c r="T26" s="4">
        <f t="shared" ref="T26:T31" si="0">IF($G$29="Lightweight",Q26,IF($G$29="Medium Weight",R26,S26))</f>
        <v>33</v>
      </c>
      <c r="W26"/>
      <c r="X26"/>
      <c r="Y26"/>
      <c r="Z26"/>
      <c r="AA26"/>
      <c r="AB26"/>
      <c r="AC26"/>
      <c r="AD26"/>
      <c r="AE26"/>
      <c r="AF26"/>
      <c r="AG26"/>
      <c r="AH26"/>
      <c r="AI26"/>
      <c r="AJ26"/>
      <c r="AK26"/>
      <c r="AL26"/>
    </row>
    <row r="27" spans="2:38" ht="17.25" x14ac:dyDescent="0.3">
      <c r="F27" s="3" t="s">
        <v>67</v>
      </c>
      <c r="G27" s="6">
        <v>1</v>
      </c>
      <c r="P27" s="4">
        <v>8</v>
      </c>
      <c r="Q27" s="4">
        <v>39</v>
      </c>
      <c r="R27" s="4">
        <v>43</v>
      </c>
      <c r="S27" s="4">
        <v>47</v>
      </c>
      <c r="T27" s="4">
        <f t="shared" si="0"/>
        <v>43</v>
      </c>
      <c r="W27"/>
      <c r="X27"/>
      <c r="Y27"/>
      <c r="Z27"/>
      <c r="AA27"/>
      <c r="AB27"/>
      <c r="AC27"/>
      <c r="AD27"/>
      <c r="AE27"/>
      <c r="AF27"/>
      <c r="AG27"/>
      <c r="AH27"/>
      <c r="AI27"/>
      <c r="AJ27"/>
      <c r="AK27"/>
      <c r="AL27"/>
    </row>
    <row r="28" spans="2:38" ht="17.25" x14ac:dyDescent="0.3">
      <c r="F28" s="3" t="s">
        <v>68</v>
      </c>
      <c r="G28" s="6">
        <v>1.5</v>
      </c>
      <c r="P28" s="4">
        <v>10</v>
      </c>
      <c r="Q28" s="4">
        <v>45</v>
      </c>
      <c r="R28" s="4">
        <v>49</v>
      </c>
      <c r="S28" s="4">
        <v>54</v>
      </c>
      <c r="T28" s="4">
        <f t="shared" si="0"/>
        <v>49</v>
      </c>
      <c r="W28"/>
      <c r="X28"/>
      <c r="Y28"/>
      <c r="Z28"/>
      <c r="AA28"/>
      <c r="AB28"/>
      <c r="AC28"/>
      <c r="AD28"/>
      <c r="AE28"/>
      <c r="AF28"/>
      <c r="AG28"/>
      <c r="AH28"/>
      <c r="AI28"/>
      <c r="AJ28"/>
      <c r="AK28"/>
      <c r="AL28"/>
    </row>
    <row r="29" spans="2:38" ht="17.25" x14ac:dyDescent="0.25">
      <c r="F29" s="3" t="s">
        <v>37</v>
      </c>
      <c r="G29" s="23" t="str">
        <f>'User Inputs and Report'!H14</f>
        <v>Medium Weight</v>
      </c>
      <c r="P29" s="4">
        <v>12</v>
      </c>
      <c r="Q29" s="4">
        <v>51</v>
      </c>
      <c r="R29" s="4">
        <v>56</v>
      </c>
      <c r="S29" s="4">
        <v>61</v>
      </c>
      <c r="T29" s="4">
        <f t="shared" si="0"/>
        <v>56</v>
      </c>
      <c r="W29"/>
      <c r="X29"/>
      <c r="Y29"/>
      <c r="Z29"/>
      <c r="AA29"/>
      <c r="AB29"/>
      <c r="AC29"/>
      <c r="AD29"/>
      <c r="AE29"/>
      <c r="AF29"/>
      <c r="AG29"/>
      <c r="AH29"/>
      <c r="AI29"/>
      <c r="AJ29"/>
      <c r="AK29"/>
      <c r="AL29"/>
    </row>
    <row r="30" spans="2:38" ht="15" x14ac:dyDescent="0.25">
      <c r="F30" s="3" t="s">
        <v>13</v>
      </c>
      <c r="G30" s="23">
        <f>'User Inputs and Report'!H4</f>
        <v>6</v>
      </c>
      <c r="P30" s="4">
        <v>14</v>
      </c>
      <c r="Q30" s="4">
        <v>57</v>
      </c>
      <c r="R30" s="4">
        <v>63</v>
      </c>
      <c r="S30" s="4">
        <v>68</v>
      </c>
      <c r="T30" s="4">
        <f t="shared" si="0"/>
        <v>63</v>
      </c>
      <c r="W30"/>
      <c r="X30"/>
      <c r="Y30"/>
      <c r="Z30"/>
      <c r="AA30"/>
      <c r="AB30"/>
      <c r="AC30"/>
      <c r="AD30"/>
      <c r="AE30"/>
      <c r="AF30"/>
      <c r="AG30"/>
      <c r="AH30"/>
      <c r="AI30"/>
      <c r="AJ30"/>
      <c r="AK30"/>
      <c r="AL30"/>
    </row>
    <row r="31" spans="2:38" ht="18" x14ac:dyDescent="0.3">
      <c r="F31" s="3" t="s">
        <v>86</v>
      </c>
      <c r="G31" s="23">
        <f>_xlfn.XLOOKUP(G30,P26:P31,T26:T31)</f>
        <v>33</v>
      </c>
      <c r="P31" s="4">
        <v>16</v>
      </c>
      <c r="Q31" s="4">
        <v>63</v>
      </c>
      <c r="R31" s="4">
        <v>69</v>
      </c>
      <c r="S31" s="4">
        <v>75</v>
      </c>
      <c r="T31" s="4">
        <f t="shared" si="0"/>
        <v>69</v>
      </c>
      <c r="W31"/>
      <c r="X31"/>
      <c r="Y31"/>
      <c r="Z31"/>
      <c r="AA31"/>
      <c r="AB31"/>
      <c r="AC31"/>
      <c r="AD31"/>
      <c r="AE31"/>
      <c r="AF31"/>
      <c r="AG31"/>
      <c r="AH31"/>
      <c r="AI31"/>
      <c r="AJ31"/>
      <c r="AK31"/>
      <c r="AL31"/>
    </row>
    <row r="32" spans="2:38" ht="15" x14ac:dyDescent="0.25">
      <c r="F32" s="3" t="s">
        <v>2</v>
      </c>
      <c r="G32" s="7" t="str">
        <f>'User Inputs and Report'!H39</f>
        <v>C</v>
      </c>
      <c r="W32"/>
      <c r="X32"/>
      <c r="Y32"/>
      <c r="Z32"/>
      <c r="AA32"/>
      <c r="AB32"/>
      <c r="AC32"/>
      <c r="AD32"/>
      <c r="AE32"/>
      <c r="AF32"/>
      <c r="AG32"/>
      <c r="AH32"/>
      <c r="AI32"/>
      <c r="AJ32"/>
      <c r="AK32"/>
      <c r="AL32"/>
    </row>
    <row r="33" spans="2:38" ht="18" x14ac:dyDescent="0.3">
      <c r="F33" s="3" t="s">
        <v>12</v>
      </c>
      <c r="G33" s="6">
        <f>IF(OR(G32="A",G32="B"),0,0.4*G22*G23*G31*(G25/G26)*(G27/G28))</f>
        <v>1.8051282051282049</v>
      </c>
      <c r="W33"/>
      <c r="X33"/>
      <c r="Y33"/>
      <c r="Z33"/>
      <c r="AA33"/>
      <c r="AB33"/>
      <c r="AC33"/>
      <c r="AD33"/>
      <c r="AE33"/>
      <c r="AF33"/>
      <c r="AG33"/>
      <c r="AH33"/>
      <c r="AI33"/>
      <c r="AJ33"/>
      <c r="AK33"/>
      <c r="AL33"/>
    </row>
    <row r="34" spans="2:38" ht="15" x14ac:dyDescent="0.25">
      <c r="B34" s="1" t="s">
        <v>77</v>
      </c>
      <c r="W34"/>
      <c r="X34"/>
      <c r="Y34"/>
      <c r="Z34"/>
      <c r="AA34"/>
      <c r="AB34"/>
      <c r="AC34"/>
      <c r="AD34"/>
      <c r="AE34"/>
      <c r="AF34"/>
      <c r="AG34"/>
      <c r="AH34"/>
      <c r="AI34"/>
      <c r="AJ34"/>
      <c r="AK34"/>
      <c r="AL34"/>
    </row>
    <row r="35" spans="2:38" ht="16.5" x14ac:dyDescent="0.2">
      <c r="C35" s="1" t="s">
        <v>109</v>
      </c>
      <c r="P35" s="49" t="s">
        <v>83</v>
      </c>
      <c r="Q35" s="49"/>
      <c r="R35" s="49"/>
      <c r="S35" s="49"/>
    </row>
    <row r="36" spans="2:38" ht="16.5" x14ac:dyDescent="0.2">
      <c r="F36" s="3" t="s">
        <v>78</v>
      </c>
      <c r="G36" s="6">
        <f>1.6*G6</f>
        <v>8</v>
      </c>
      <c r="P36" s="47" t="s">
        <v>69</v>
      </c>
      <c r="Q36" s="47" t="s">
        <v>82</v>
      </c>
      <c r="R36" s="47" t="s">
        <v>70</v>
      </c>
      <c r="S36" s="47" t="s">
        <v>84</v>
      </c>
      <c r="T36" s="47" t="s">
        <v>85</v>
      </c>
    </row>
    <row r="37" spans="2:38" ht="16.5" x14ac:dyDescent="0.2">
      <c r="F37" s="3" t="s">
        <v>80</v>
      </c>
      <c r="G37" s="6">
        <f>(1*G19)+(1*G6)</f>
        <v>9.7377612799999991</v>
      </c>
      <c r="P37" s="48"/>
      <c r="Q37" s="48"/>
      <c r="R37" s="48"/>
      <c r="S37" s="48"/>
      <c r="T37" s="48"/>
    </row>
    <row r="38" spans="2:38" ht="18" x14ac:dyDescent="0.3">
      <c r="F38" s="3" t="s">
        <v>79</v>
      </c>
      <c r="G38" s="6">
        <f>(1*G33)+(1*G6)</f>
        <v>6.8051282051282049</v>
      </c>
      <c r="P38" s="4">
        <v>6</v>
      </c>
      <c r="Q38" s="4">
        <v>24</v>
      </c>
      <c r="R38" s="4">
        <v>26</v>
      </c>
      <c r="S38" s="4">
        <v>30</v>
      </c>
      <c r="T38" s="4">
        <f t="shared" ref="T38:T43" si="1">IF($G$29="Lightweight",Q38,IF($G$29="Medium Weight",R38,S38))</f>
        <v>26</v>
      </c>
    </row>
    <row r="39" spans="2:38" ht="16.5" x14ac:dyDescent="0.2">
      <c r="F39" s="3" t="s">
        <v>220</v>
      </c>
      <c r="G39" s="6">
        <f>MAX(G36:G38)</f>
        <v>9.7377612799999991</v>
      </c>
      <c r="P39" s="4">
        <v>8</v>
      </c>
      <c r="Q39" s="4">
        <v>31</v>
      </c>
      <c r="R39" s="4">
        <v>34</v>
      </c>
      <c r="S39" s="4">
        <v>39</v>
      </c>
      <c r="T39" s="4">
        <f t="shared" si="1"/>
        <v>34</v>
      </c>
    </row>
    <row r="40" spans="2:38" x14ac:dyDescent="0.2">
      <c r="C40" s="1" t="s">
        <v>110</v>
      </c>
      <c r="P40" s="4">
        <v>10</v>
      </c>
      <c r="Q40" s="4">
        <v>35</v>
      </c>
      <c r="R40" s="4">
        <v>38</v>
      </c>
      <c r="S40" s="4">
        <v>44</v>
      </c>
      <c r="T40" s="4">
        <f t="shared" si="1"/>
        <v>38</v>
      </c>
    </row>
    <row r="41" spans="2:38" x14ac:dyDescent="0.2">
      <c r="F41" s="3" t="s">
        <v>41</v>
      </c>
      <c r="G41" s="7">
        <f>'User Inputs and Report'!H6</f>
        <v>12</v>
      </c>
      <c r="P41" s="4">
        <v>12</v>
      </c>
      <c r="Q41" s="4">
        <v>39</v>
      </c>
      <c r="R41" s="4">
        <v>43</v>
      </c>
      <c r="S41" s="4">
        <v>49</v>
      </c>
      <c r="T41" s="4">
        <f t="shared" si="1"/>
        <v>43</v>
      </c>
    </row>
    <row r="42" spans="2:38" x14ac:dyDescent="0.2">
      <c r="F42" s="3" t="s">
        <v>13</v>
      </c>
      <c r="G42" s="23">
        <f>'User Inputs and Report'!H4</f>
        <v>6</v>
      </c>
      <c r="P42" s="4">
        <v>14</v>
      </c>
      <c r="Q42" s="4">
        <v>43</v>
      </c>
      <c r="R42" s="4">
        <v>48</v>
      </c>
      <c r="S42" s="4">
        <v>54</v>
      </c>
      <c r="T42" s="4">
        <f t="shared" si="1"/>
        <v>48</v>
      </c>
    </row>
    <row r="43" spans="2:38" ht="16.5" x14ac:dyDescent="0.2">
      <c r="F43" s="3" t="s">
        <v>87</v>
      </c>
      <c r="G43" s="23">
        <f>_xlfn.XLOOKUP(G42,P38:P43,T38:T43)</f>
        <v>26</v>
      </c>
      <c r="P43" s="4">
        <v>16</v>
      </c>
      <c r="Q43" s="4">
        <v>47</v>
      </c>
      <c r="R43" s="4">
        <v>52</v>
      </c>
      <c r="S43" s="4">
        <v>59</v>
      </c>
      <c r="T43" s="4">
        <f t="shared" si="1"/>
        <v>52</v>
      </c>
    </row>
    <row r="44" spans="2:38" x14ac:dyDescent="0.2">
      <c r="F44" s="3" t="s">
        <v>88</v>
      </c>
      <c r="G44" s="6">
        <f>G43*G41/2</f>
        <v>156</v>
      </c>
    </row>
    <row r="45" spans="2:38" ht="17.25" x14ac:dyDescent="0.3">
      <c r="F45" s="3" t="s">
        <v>93</v>
      </c>
      <c r="G45" s="6">
        <f>IF(OR(G32="A",G32="B"),0,0.2*G22*G44)</f>
        <v>8.32</v>
      </c>
    </row>
    <row r="46" spans="2:38" x14ac:dyDescent="0.2">
      <c r="F46" s="3" t="s">
        <v>90</v>
      </c>
      <c r="G46" s="6">
        <f>1.4*(G4+G44)</f>
        <v>218.39999999999998</v>
      </c>
    </row>
    <row r="47" spans="2:38" x14ac:dyDescent="0.2">
      <c r="F47" s="3" t="s">
        <v>89</v>
      </c>
      <c r="G47" s="6">
        <f>1.2*(G4+G44)+1.6*(G5)</f>
        <v>187.2</v>
      </c>
    </row>
    <row r="48" spans="2:38" x14ac:dyDescent="0.2">
      <c r="F48" s="3" t="s">
        <v>91</v>
      </c>
      <c r="G48" s="6">
        <f>1.2*(G4+G44)+1*(G5)</f>
        <v>187.2</v>
      </c>
    </row>
    <row r="49" spans="3:14" x14ac:dyDescent="0.2">
      <c r="F49" s="3" t="s">
        <v>92</v>
      </c>
      <c r="G49" s="6">
        <f>0.9*(G44+G4)</f>
        <v>140.4</v>
      </c>
    </row>
    <row r="50" spans="3:14" ht="17.25" x14ac:dyDescent="0.3">
      <c r="F50" s="3" t="s">
        <v>94</v>
      </c>
      <c r="G50" s="6">
        <f>1.2*(G44+G4)+1*(G45)+1*(G5)</f>
        <v>195.51999999999998</v>
      </c>
    </row>
    <row r="51" spans="3:14" ht="17.25" x14ac:dyDescent="0.3">
      <c r="F51" s="3" t="s">
        <v>95</v>
      </c>
      <c r="G51" s="6">
        <f>0.9*(G44+G4)-1*(G45)</f>
        <v>132.08000000000001</v>
      </c>
    </row>
    <row r="52" spans="3:14" x14ac:dyDescent="0.2">
      <c r="F52" s="3" t="s">
        <v>99</v>
      </c>
      <c r="G52" s="6">
        <f>MIN(G46:G51)</f>
        <v>132.08000000000001</v>
      </c>
      <c r="I52" s="1" t="s">
        <v>101</v>
      </c>
    </row>
    <row r="53" spans="3:14" x14ac:dyDescent="0.2">
      <c r="C53" s="1" t="s">
        <v>111</v>
      </c>
      <c r="J53" s="1" t="s">
        <v>107</v>
      </c>
    </row>
    <row r="54" spans="3:14" ht="16.5" x14ac:dyDescent="0.2">
      <c r="F54" s="3" t="s">
        <v>41</v>
      </c>
      <c r="G54" s="7">
        <f>'User Inputs and Report'!H6</f>
        <v>12</v>
      </c>
      <c r="M54" s="3" t="s">
        <v>102</v>
      </c>
      <c r="N54" s="6">
        <f>1*(G6)</f>
        <v>5</v>
      </c>
    </row>
    <row r="55" spans="3:14" ht="16.5" x14ac:dyDescent="0.2">
      <c r="F55" s="3" t="s">
        <v>13</v>
      </c>
      <c r="G55" s="23">
        <f>'User Inputs and Report'!H4</f>
        <v>6</v>
      </c>
      <c r="M55" s="3" t="s">
        <v>103</v>
      </c>
      <c r="N55" s="6">
        <f>0.6*(G19)</f>
        <v>2.8426567679999994</v>
      </c>
    </row>
    <row r="56" spans="3:14" ht="16.5" x14ac:dyDescent="0.2">
      <c r="F56" s="3" t="s">
        <v>96</v>
      </c>
      <c r="G56" s="23">
        <f>_xlfn.XLOOKUP(G55,P26:P31,T26:T31)</f>
        <v>33</v>
      </c>
      <c r="M56" s="3" t="s">
        <v>104</v>
      </c>
      <c r="N56" s="6">
        <f>(0.75*G6)+(0.45*G19)</f>
        <v>5.881992576</v>
      </c>
    </row>
    <row r="57" spans="3:14" ht="18" x14ac:dyDescent="0.3">
      <c r="F57" s="3" t="s">
        <v>97</v>
      </c>
      <c r="G57" s="6">
        <f>G56*G54/2</f>
        <v>198</v>
      </c>
      <c r="M57" s="3" t="s">
        <v>105</v>
      </c>
      <c r="N57" s="6">
        <f>0.7*G33</f>
        <v>1.2635897435897434</v>
      </c>
    </row>
    <row r="58" spans="3:14" ht="18" x14ac:dyDescent="0.3">
      <c r="F58" s="3" t="s">
        <v>98</v>
      </c>
      <c r="G58" s="6">
        <f>IF(OR(G32="A",G32="B"),0,0.2*G22*G57)</f>
        <v>10.56</v>
      </c>
      <c r="M58" s="3" t="s">
        <v>106</v>
      </c>
      <c r="N58" s="6">
        <f>(0.525*G33)+(0.75*G6)</f>
        <v>4.6976923076923072</v>
      </c>
    </row>
    <row r="59" spans="3:14" ht="16.5" x14ac:dyDescent="0.2">
      <c r="F59" s="3" t="s">
        <v>90</v>
      </c>
      <c r="G59" s="6">
        <f>1.4*(G4+G57)</f>
        <v>277.2</v>
      </c>
      <c r="M59" s="3" t="s">
        <v>125</v>
      </c>
      <c r="N59" s="6">
        <f>MAX(N54:N58)</f>
        <v>5.881992576</v>
      </c>
    </row>
    <row r="60" spans="3:14" x14ac:dyDescent="0.2">
      <c r="F60" s="3" t="s">
        <v>89</v>
      </c>
      <c r="G60" s="6">
        <f>1.2*(G4+G57)+1.6*(G5)</f>
        <v>237.6</v>
      </c>
      <c r="J60" s="1" t="s">
        <v>108</v>
      </c>
    </row>
    <row r="61" spans="3:14" x14ac:dyDescent="0.2">
      <c r="F61" s="3" t="s">
        <v>91</v>
      </c>
      <c r="G61" s="6">
        <f>1.2*(G4+G57)+1*(G5)</f>
        <v>237.6</v>
      </c>
      <c r="M61" s="3" t="s">
        <v>112</v>
      </c>
      <c r="N61" s="6">
        <f>G4+G44</f>
        <v>156</v>
      </c>
    </row>
    <row r="62" spans="3:14" x14ac:dyDescent="0.2">
      <c r="F62" s="3" t="s">
        <v>92</v>
      </c>
      <c r="G62" s="6">
        <f>0.9*(G57+G4)</f>
        <v>178.20000000000002</v>
      </c>
      <c r="M62" s="3" t="s">
        <v>113</v>
      </c>
      <c r="N62" s="6">
        <f>G4+G44+G5</f>
        <v>156</v>
      </c>
    </row>
    <row r="63" spans="3:14" ht="17.25" x14ac:dyDescent="0.3">
      <c r="F63" s="3" t="s">
        <v>94</v>
      </c>
      <c r="G63" s="6">
        <f>1.2*(G57+G4)+1*(G58)+1*(G5)</f>
        <v>248.16</v>
      </c>
      <c r="M63" s="3" t="s">
        <v>114</v>
      </c>
      <c r="N63" s="6">
        <f>G4+G44+(0.75*G5)</f>
        <v>156</v>
      </c>
    </row>
    <row r="64" spans="3:14" ht="17.25" x14ac:dyDescent="0.3">
      <c r="F64" s="3" t="s">
        <v>95</v>
      </c>
      <c r="G64" s="6">
        <f>0.9*(G57+G4)-1*(G58)</f>
        <v>167.64000000000001</v>
      </c>
      <c r="M64" s="3" t="s">
        <v>115</v>
      </c>
      <c r="N64" s="6">
        <f>0.6*(G4+G44)</f>
        <v>93.6</v>
      </c>
    </row>
    <row r="65" spans="1:14" x14ac:dyDescent="0.2">
      <c r="F65" s="3" t="s">
        <v>100</v>
      </c>
      <c r="G65" s="6">
        <f>MAX(G59:G64)</f>
        <v>277.2</v>
      </c>
      <c r="M65" s="3" t="s">
        <v>126</v>
      </c>
      <c r="N65" s="6">
        <f>MIN(N59:N64)</f>
        <v>5.881992576</v>
      </c>
    </row>
    <row r="67" spans="1:14" ht="18" x14ac:dyDescent="0.25">
      <c r="A67" s="24" t="s">
        <v>134</v>
      </c>
    </row>
    <row r="68" spans="1:14" x14ac:dyDescent="0.2">
      <c r="B68" s="1" t="s">
        <v>5</v>
      </c>
      <c r="C68" s="1"/>
      <c r="D68" s="1"/>
    </row>
    <row r="69" spans="1:14" x14ac:dyDescent="0.2">
      <c r="B69" s="1"/>
      <c r="C69" s="1"/>
      <c r="D69" s="1"/>
    </row>
    <row r="70" spans="1:14" ht="18" x14ac:dyDescent="0.3">
      <c r="B70" s="1"/>
      <c r="C70" s="1"/>
      <c r="D70" s="1"/>
      <c r="F70" s="3" t="s">
        <v>15</v>
      </c>
      <c r="G70" s="18">
        <f>'User Inputs and Report'!H13</f>
        <v>1750</v>
      </c>
    </row>
    <row r="71" spans="1:14" ht="18" x14ac:dyDescent="0.3">
      <c r="B71" s="1"/>
      <c r="C71" s="1"/>
      <c r="D71" s="1"/>
      <c r="F71" s="3" t="s">
        <v>17</v>
      </c>
      <c r="G71" s="18">
        <f>'User Inputs and Report'!H12</f>
        <v>70000</v>
      </c>
    </row>
    <row r="72" spans="1:14" ht="18" x14ac:dyDescent="0.3">
      <c r="B72" s="1"/>
      <c r="C72" s="1"/>
      <c r="D72" s="1"/>
      <c r="F72" s="3" t="s">
        <v>18</v>
      </c>
      <c r="G72" s="18">
        <f>900*G70</f>
        <v>1575000</v>
      </c>
    </row>
    <row r="73" spans="1:14" ht="18" x14ac:dyDescent="0.3">
      <c r="B73" s="1"/>
      <c r="C73" s="1"/>
      <c r="D73" s="1"/>
      <c r="F73" s="3" t="s">
        <v>19</v>
      </c>
      <c r="G73" s="18">
        <v>29000000</v>
      </c>
    </row>
    <row r="74" spans="1:14" x14ac:dyDescent="0.2">
      <c r="B74" s="1"/>
      <c r="C74" s="1"/>
      <c r="D74" s="1"/>
      <c r="F74" s="3" t="s">
        <v>21</v>
      </c>
      <c r="G74" s="6">
        <f>G73/G72</f>
        <v>18.412698412698411</v>
      </c>
    </row>
    <row r="75" spans="1:14" x14ac:dyDescent="0.2">
      <c r="B75" s="1"/>
      <c r="C75" s="1"/>
      <c r="D75" s="1"/>
      <c r="F75" s="3" t="s">
        <v>13</v>
      </c>
      <c r="G75" s="23">
        <f>'User Inputs and Report'!H4</f>
        <v>6</v>
      </c>
    </row>
    <row r="76" spans="1:14" ht="17.25" x14ac:dyDescent="0.3">
      <c r="B76" s="1"/>
      <c r="C76" s="1"/>
      <c r="D76" s="1"/>
      <c r="F76" s="3" t="s">
        <v>16</v>
      </c>
      <c r="G76" s="19">
        <f>G75-0.375</f>
        <v>5.625</v>
      </c>
    </row>
    <row r="77" spans="1:14" x14ac:dyDescent="0.2">
      <c r="B77" s="1"/>
      <c r="C77" s="1"/>
      <c r="D77" s="1"/>
      <c r="F77" s="3" t="s">
        <v>43</v>
      </c>
      <c r="G77" s="16" t="str">
        <f>'User Inputs and Report'!H10</f>
        <v>9 gauge</v>
      </c>
    </row>
    <row r="78" spans="1:14" ht="18" x14ac:dyDescent="0.3">
      <c r="B78" s="1"/>
      <c r="C78" s="1"/>
      <c r="D78" s="1"/>
      <c r="F78" s="3" t="s">
        <v>129</v>
      </c>
      <c r="G78" s="19">
        <f>IF(G77="9 gauge",0.017,0.027)</f>
        <v>1.7000000000000001E-2</v>
      </c>
    </row>
    <row r="79" spans="1:14" x14ac:dyDescent="0.2">
      <c r="B79" s="1"/>
      <c r="C79" s="1"/>
      <c r="D79" s="1"/>
      <c r="F79" s="3" t="s">
        <v>3</v>
      </c>
      <c r="G79" s="25">
        <f>IF(G77="9 gauge",0.148,0.187)</f>
        <v>0.14799999999999999</v>
      </c>
    </row>
    <row r="80" spans="1:14" ht="17.25" x14ac:dyDescent="0.3">
      <c r="B80" s="1"/>
      <c r="C80" s="1"/>
      <c r="D80" s="1"/>
      <c r="F80" s="3" t="s">
        <v>117</v>
      </c>
      <c r="G80" s="16">
        <f>G76-(5/8)-(G79/2)</f>
        <v>4.9260000000000002</v>
      </c>
    </row>
    <row r="81" spans="2:17" x14ac:dyDescent="0.2">
      <c r="B81" s="1"/>
      <c r="C81" s="1"/>
      <c r="D81" s="1"/>
      <c r="F81" s="3" t="s">
        <v>7</v>
      </c>
      <c r="G81" s="16">
        <f>'User Inputs and Report'!H11</f>
        <v>16</v>
      </c>
    </row>
    <row r="82" spans="2:17" ht="18" x14ac:dyDescent="0.3">
      <c r="B82" s="1"/>
      <c r="C82" s="1"/>
      <c r="D82" s="1"/>
      <c r="F82" s="3" t="s">
        <v>22</v>
      </c>
      <c r="G82" s="17">
        <f>G78/(G81/12)</f>
        <v>1.2750000000000001E-2</v>
      </c>
    </row>
    <row r="83" spans="2:17" x14ac:dyDescent="0.2">
      <c r="B83" s="1"/>
      <c r="C83" s="1"/>
      <c r="D83" s="1"/>
      <c r="F83" s="3" t="s">
        <v>24</v>
      </c>
      <c r="G83" s="7">
        <f>(G82*G71)/(0.8*G70*12)</f>
        <v>5.3125000000000006E-2</v>
      </c>
    </row>
    <row r="84" spans="2:17" ht="17.25" x14ac:dyDescent="0.3">
      <c r="B84" s="1"/>
      <c r="C84" s="1"/>
      <c r="D84" s="1"/>
      <c r="F84" s="3" t="s">
        <v>26</v>
      </c>
      <c r="G84" s="18">
        <f>0.9*(G82*G71)*(G80-(G83/2))</f>
        <v>3935.4731718750008</v>
      </c>
    </row>
    <row r="85" spans="2:17" ht="17.25" x14ac:dyDescent="0.3">
      <c r="B85" s="1"/>
      <c r="C85" s="1"/>
      <c r="D85" s="1"/>
      <c r="F85" s="3" t="s">
        <v>28</v>
      </c>
      <c r="G85" s="18">
        <f>G84/12</f>
        <v>327.95609765625005</v>
      </c>
    </row>
    <row r="86" spans="2:17" x14ac:dyDescent="0.2">
      <c r="B86" s="1"/>
      <c r="C86" s="1"/>
      <c r="D86" s="1"/>
      <c r="F86" s="3" t="s">
        <v>4</v>
      </c>
      <c r="G86" s="18">
        <f>12*((G85*8/G39)^0.5)</f>
        <v>196.97201729150675</v>
      </c>
    </row>
    <row r="87" spans="2:17" x14ac:dyDescent="0.2">
      <c r="F87" s="3" t="s">
        <v>127</v>
      </c>
      <c r="G87" s="18">
        <f>ROUND(IF(G86&gt;120,120,G86),0)</f>
        <v>120</v>
      </c>
    </row>
    <row r="88" spans="2:17" ht="18" x14ac:dyDescent="0.3">
      <c r="F88" s="3" t="s">
        <v>23</v>
      </c>
      <c r="G88" s="6">
        <f>_xlfn.XLOOKUP(G75,P92:P97,Q92:Q97)</f>
        <v>130.30000000000001</v>
      </c>
      <c r="P88" s="47" t="s">
        <v>156</v>
      </c>
      <c r="Q88" s="47"/>
    </row>
    <row r="89" spans="2:17" x14ac:dyDescent="0.2">
      <c r="F89" s="3" t="s">
        <v>25</v>
      </c>
      <c r="G89" s="7">
        <f>(G82*G71)/(0.64*G70*12)</f>
        <v>6.6406250000000014E-2</v>
      </c>
      <c r="P89" s="47"/>
      <c r="Q89" s="47"/>
    </row>
    <row r="90" spans="2:17" x14ac:dyDescent="0.2">
      <c r="F90" s="3" t="s">
        <v>36</v>
      </c>
      <c r="G90" s="2" t="str">
        <f>'User Inputs and Report'!H15</f>
        <v>Type N PCL or Mortar Cement</v>
      </c>
      <c r="P90" s="47" t="s">
        <v>9</v>
      </c>
      <c r="Q90" s="47" t="s">
        <v>20</v>
      </c>
    </row>
    <row r="91" spans="2:17" ht="18" x14ac:dyDescent="0.3">
      <c r="F91" s="3" t="s">
        <v>116</v>
      </c>
      <c r="G91" s="18">
        <f>IF(G90="Type S PCL or Mortar Cement",167,127)</f>
        <v>127</v>
      </c>
      <c r="P91" s="48"/>
      <c r="Q91" s="48"/>
    </row>
    <row r="92" spans="2:17" ht="17.25" x14ac:dyDescent="0.3">
      <c r="F92" s="3" t="s">
        <v>27</v>
      </c>
      <c r="G92" s="18">
        <f>(G91*G88)/(G76/2)</f>
        <v>5883.7688888888897</v>
      </c>
      <c r="P92" s="20">
        <v>6</v>
      </c>
      <c r="Q92" s="21">
        <v>130.30000000000001</v>
      </c>
    </row>
    <row r="93" spans="2:17" ht="17.25" x14ac:dyDescent="0.3">
      <c r="F93" s="3" t="s">
        <v>29</v>
      </c>
      <c r="G93" s="18">
        <f>(N59*(G87^2)/8)/12</f>
        <v>882.29888640000001</v>
      </c>
      <c r="P93" s="20">
        <v>8</v>
      </c>
      <c r="Q93" s="21">
        <v>308.7</v>
      </c>
    </row>
    <row r="94" spans="2:17" ht="18" x14ac:dyDescent="0.3">
      <c r="F94" s="3" t="s">
        <v>30</v>
      </c>
      <c r="G94" s="2" t="str">
        <f>IF(G93&lt;G92,"NA",(G74*G82)*((G80-G89)^2)+(12*(G89^3)/3))</f>
        <v>NA</v>
      </c>
      <c r="P94" s="20">
        <v>10</v>
      </c>
      <c r="Q94" s="21">
        <v>530</v>
      </c>
    </row>
    <row r="95" spans="2:17" ht="17.25" x14ac:dyDescent="0.3">
      <c r="F95" s="3" t="s">
        <v>119</v>
      </c>
      <c r="G95" s="7">
        <f>IF(G93&lt;G92,(5*G93*G87*G87)/(48*G72*G88),(5*G92*G87*G87)/(48*G72*G88)+(5*(G93-G92)*G87*G87)/(48*G72*G94))</f>
        <v>6.4488461528341189E-3</v>
      </c>
      <c r="P95" s="20">
        <v>12</v>
      </c>
      <c r="Q95" s="21">
        <v>811.2</v>
      </c>
    </row>
    <row r="96" spans="2:17" ht="17.25" x14ac:dyDescent="0.3">
      <c r="F96" s="3" t="s">
        <v>118</v>
      </c>
      <c r="G96" s="7">
        <f>0.007*G87</f>
        <v>0.84</v>
      </c>
      <c r="P96" s="20">
        <v>14</v>
      </c>
      <c r="Q96" s="21">
        <v>1152.5</v>
      </c>
    </row>
    <row r="97" spans="2:20" ht="17.25" x14ac:dyDescent="0.3">
      <c r="F97" s="3" t="s">
        <v>120</v>
      </c>
      <c r="G97" s="7">
        <f>(5*((G6*G87^2/8)/12)*(G87^2))/(48*G72*G88)</f>
        <v>5.4818550597522204E-3</v>
      </c>
      <c r="P97" s="20">
        <v>16</v>
      </c>
      <c r="Q97" s="21">
        <v>1553.7</v>
      </c>
    </row>
    <row r="98" spans="2:20" ht="17.25" x14ac:dyDescent="0.3">
      <c r="F98" s="3" t="s">
        <v>121</v>
      </c>
      <c r="G98" s="7">
        <f>G87/240</f>
        <v>0.5</v>
      </c>
    </row>
    <row r="99" spans="2:20" x14ac:dyDescent="0.2">
      <c r="F99" s="3"/>
      <c r="G99" s="19"/>
    </row>
    <row r="100" spans="2:20" x14ac:dyDescent="0.2">
      <c r="F100" s="3"/>
      <c r="G100" s="19"/>
    </row>
    <row r="101" spans="2:20" x14ac:dyDescent="0.2">
      <c r="F101" s="3"/>
      <c r="G101" s="19"/>
    </row>
    <row r="102" spans="2:20" x14ac:dyDescent="0.2">
      <c r="B102" s="1" t="s">
        <v>8</v>
      </c>
      <c r="F102" s="3"/>
      <c r="G102" s="19"/>
    </row>
    <row r="103" spans="2:20" x14ac:dyDescent="0.2">
      <c r="C103" s="1" t="s">
        <v>141</v>
      </c>
      <c r="F103" s="3"/>
    </row>
    <row r="104" spans="2:20" x14ac:dyDescent="0.2">
      <c r="F104" s="3" t="s">
        <v>41</v>
      </c>
      <c r="G104" s="7">
        <f>'User Inputs and Report'!H6</f>
        <v>12</v>
      </c>
      <c r="S104" s="47" t="s">
        <v>1</v>
      </c>
      <c r="T104" s="47" t="s">
        <v>14</v>
      </c>
    </row>
    <row r="105" spans="2:20" x14ac:dyDescent="0.2">
      <c r="F105" s="3" t="s">
        <v>122</v>
      </c>
      <c r="G105" s="16">
        <f>G104*12</f>
        <v>144</v>
      </c>
      <c r="R105" s="3"/>
      <c r="S105" s="48"/>
      <c r="T105" s="48"/>
    </row>
    <row r="106" spans="2:20" x14ac:dyDescent="0.2">
      <c r="F106" s="3" t="s">
        <v>13</v>
      </c>
      <c r="G106" s="16">
        <f>'User Inputs and Report'!H4</f>
        <v>6</v>
      </c>
      <c r="R106" s="3"/>
      <c r="S106" s="4">
        <v>3</v>
      </c>
      <c r="T106" s="4">
        <v>0.11</v>
      </c>
    </row>
    <row r="107" spans="2:20" ht="17.25" x14ac:dyDescent="0.3">
      <c r="F107" s="3" t="s">
        <v>16</v>
      </c>
      <c r="G107" s="19">
        <f>G106-0.375</f>
        <v>5.625</v>
      </c>
      <c r="S107" s="4">
        <v>4</v>
      </c>
      <c r="T107" s="4">
        <v>0.2</v>
      </c>
    </row>
    <row r="108" spans="2:20" x14ac:dyDescent="0.2">
      <c r="F108" s="3" t="s">
        <v>35</v>
      </c>
      <c r="G108" s="16">
        <f>'User Inputs and Report'!H5</f>
        <v>4</v>
      </c>
      <c r="S108" s="4">
        <v>5</v>
      </c>
      <c r="T108" s="4">
        <v>0.31</v>
      </c>
    </row>
    <row r="109" spans="2:20" ht="18" x14ac:dyDescent="0.3">
      <c r="F109" s="3" t="s">
        <v>130</v>
      </c>
      <c r="G109" s="16">
        <f>_xlfn.XLOOKUP(G108,S106:S111,T106:T111)</f>
        <v>0.2</v>
      </c>
      <c r="R109" s="3"/>
      <c r="S109" s="4">
        <v>6</v>
      </c>
      <c r="T109" s="4">
        <v>0.44</v>
      </c>
    </row>
    <row r="110" spans="2:20" ht="17.25" x14ac:dyDescent="0.3">
      <c r="F110" s="3" t="s">
        <v>45</v>
      </c>
      <c r="G110" s="7">
        <f>'User Inputs and Report'!H7</f>
        <v>2.8125</v>
      </c>
      <c r="R110" s="3"/>
      <c r="S110" s="4">
        <v>7</v>
      </c>
      <c r="T110" s="4">
        <v>0.6</v>
      </c>
    </row>
    <row r="111" spans="2:20" ht="18" x14ac:dyDescent="0.3">
      <c r="F111" s="3" t="s">
        <v>42</v>
      </c>
      <c r="G111" s="18">
        <f>'User Inputs and Report'!H9</f>
        <v>60000</v>
      </c>
      <c r="R111" s="3"/>
      <c r="S111" s="4">
        <v>8</v>
      </c>
      <c r="T111" s="4">
        <v>0.79</v>
      </c>
    </row>
    <row r="112" spans="2:20" ht="18" x14ac:dyDescent="0.3">
      <c r="F112" s="3" t="s">
        <v>15</v>
      </c>
      <c r="G112" s="18">
        <f>'User Inputs and Report'!H13</f>
        <v>1750</v>
      </c>
    </row>
    <row r="113" spans="3:21" x14ac:dyDescent="0.2">
      <c r="F113" s="3" t="s">
        <v>6</v>
      </c>
      <c r="G113" s="16">
        <f>6*G106</f>
        <v>36</v>
      </c>
    </row>
    <row r="114" spans="3:21" x14ac:dyDescent="0.2">
      <c r="F114" s="3" t="s">
        <v>127</v>
      </c>
      <c r="G114" s="18">
        <f>G87</f>
        <v>120</v>
      </c>
    </row>
    <row r="115" spans="3:21" x14ac:dyDescent="0.2">
      <c r="F115" s="3" t="s">
        <v>31</v>
      </c>
      <c r="G115" s="6">
        <f>G113/(G114/12)</f>
        <v>3.6</v>
      </c>
    </row>
    <row r="116" spans="3:21" x14ac:dyDescent="0.2">
      <c r="C116" s="1" t="s">
        <v>142</v>
      </c>
    </row>
    <row r="117" spans="3:21" ht="17.25" x14ac:dyDescent="0.3">
      <c r="F117" s="3" t="s">
        <v>123</v>
      </c>
      <c r="G117" s="18">
        <f>(G39*(G104^2)/8)/0.9</f>
        <v>194.75522559999999</v>
      </c>
      <c r="U117" s="2" t="s">
        <v>155</v>
      </c>
    </row>
    <row r="118" spans="3:21" ht="17.25" x14ac:dyDescent="0.3">
      <c r="F118" s="3" t="s">
        <v>124</v>
      </c>
      <c r="G118" s="18">
        <f>G117*12</f>
        <v>2337.0627071999997</v>
      </c>
    </row>
    <row r="119" spans="3:21" x14ac:dyDescent="0.2">
      <c r="F119" s="3" t="s">
        <v>99</v>
      </c>
      <c r="G119" s="18">
        <f>G52</f>
        <v>132.08000000000001</v>
      </c>
    </row>
    <row r="120" spans="3:21" x14ac:dyDescent="0.2">
      <c r="F120" s="3" t="s">
        <v>100</v>
      </c>
      <c r="G120" s="18">
        <f>G65</f>
        <v>277.2</v>
      </c>
    </row>
    <row r="121" spans="3:21" x14ac:dyDescent="0.2">
      <c r="F121" s="3" t="s">
        <v>32</v>
      </c>
      <c r="G121" s="18">
        <f>1.6*G112*G115</f>
        <v>10080</v>
      </c>
    </row>
    <row r="122" spans="3:21" x14ac:dyDescent="0.2">
      <c r="F122" s="3" t="s">
        <v>131</v>
      </c>
      <c r="G122" s="17">
        <v>1</v>
      </c>
    </row>
    <row r="123" spans="3:21" x14ac:dyDescent="0.2">
      <c r="F123" s="3" t="s">
        <v>132</v>
      </c>
      <c r="G123" s="17">
        <f>(-G110*G121/G111)+(2*G119/G111)</f>
        <v>-0.46809733333333331</v>
      </c>
    </row>
    <row r="124" spans="3:21" x14ac:dyDescent="0.2">
      <c r="F124" s="3" t="s">
        <v>133</v>
      </c>
      <c r="G124" s="17">
        <f>((-G119*G110*G121)+(G118*G121)+(G119))/(G111^2)</f>
        <v>5.5036822690488875E-3</v>
      </c>
    </row>
    <row r="125" spans="3:21" ht="18" x14ac:dyDescent="0.3">
      <c r="F125" s="3" t="s">
        <v>154</v>
      </c>
      <c r="G125" s="19">
        <f>(-G123-((G123^2)-(4*G122*G124))^0.5)/(2*G122)</f>
        <v>1.2068721402695687E-2</v>
      </c>
    </row>
    <row r="126" spans="3:21" x14ac:dyDescent="0.2">
      <c r="F126" s="3" t="s">
        <v>135</v>
      </c>
      <c r="G126" s="23">
        <f>IF(8*ROUNDDOWN(((12*G109/G125)/8),0)&gt;120,120,8*ROUNDDOWN(((12*G109/G125)/8),0))</f>
        <v>120</v>
      </c>
    </row>
    <row r="127" spans="3:21" x14ac:dyDescent="0.2">
      <c r="F127" s="3" t="s">
        <v>136</v>
      </c>
      <c r="G127" s="23">
        <f>G114</f>
        <v>120</v>
      </c>
    </row>
    <row r="128" spans="3:21" x14ac:dyDescent="0.2">
      <c r="F128" s="3" t="s">
        <v>137</v>
      </c>
      <c r="G128" s="23">
        <f>MIN(G126:G127)</f>
        <v>120</v>
      </c>
    </row>
    <row r="129" spans="6:24" ht="16.5" x14ac:dyDescent="0.2">
      <c r="F129" s="3" t="s">
        <v>139</v>
      </c>
      <c r="G129" s="19">
        <f>$G$109/(G128/12)</f>
        <v>0.02</v>
      </c>
    </row>
    <row r="130" spans="6:24" x14ac:dyDescent="0.2">
      <c r="F130" s="3" t="s">
        <v>138</v>
      </c>
      <c r="G130" s="6">
        <f>IF(G128&gt;6*$G$106,(6*$G$106)/(G128/12),6*$G$106)</f>
        <v>3.6</v>
      </c>
    </row>
    <row r="131" spans="6:24" x14ac:dyDescent="0.2">
      <c r="F131" s="3" t="s">
        <v>25</v>
      </c>
      <c r="G131" s="19">
        <f>IF(G128&gt;6*$G$106,((G129*$G$111)+G120)/(0.64*$G$112*G130),((G129*$G$111)+G120)/(0.64*$G$112*12))</f>
        <v>0.36636904761904765</v>
      </c>
    </row>
    <row r="132" spans="6:24" ht="17.25" x14ac:dyDescent="0.3">
      <c r="F132" s="3" t="s">
        <v>140</v>
      </c>
      <c r="G132" s="19">
        <f>G131/$G$110</f>
        <v>0.13026455026455028</v>
      </c>
      <c r="S132" s="47" t="s">
        <v>157</v>
      </c>
      <c r="T132" s="47"/>
      <c r="W132" s="47" t="s">
        <v>158</v>
      </c>
      <c r="X132" s="47"/>
    </row>
    <row r="133" spans="6:24" x14ac:dyDescent="0.2">
      <c r="F133" s="3" t="s">
        <v>36</v>
      </c>
      <c r="G133" s="2" t="str">
        <f>'User Inputs and Report'!H15</f>
        <v>Type N PCL or Mortar Cement</v>
      </c>
      <c r="S133" s="47"/>
      <c r="T133" s="47"/>
      <c r="W133" s="47"/>
      <c r="X133" s="47"/>
    </row>
    <row r="134" spans="6:24" ht="18" x14ac:dyDescent="0.3">
      <c r="F134" s="3" t="s">
        <v>128</v>
      </c>
      <c r="G134" s="18">
        <f>IF(G133="Type S PCL or Mortar Cement",84,64)</f>
        <v>64</v>
      </c>
      <c r="S134" s="47" t="s">
        <v>9</v>
      </c>
      <c r="T134" s="47" t="s">
        <v>33</v>
      </c>
      <c r="W134" s="47" t="s">
        <v>9</v>
      </c>
      <c r="X134" s="47" t="s">
        <v>20</v>
      </c>
    </row>
    <row r="135" spans="6:24" ht="17.25" x14ac:dyDescent="0.3">
      <c r="F135" s="3" t="s">
        <v>149</v>
      </c>
      <c r="G135" s="6">
        <f>_xlfn.XLOOKUP(G106,S136:S141,T136:T141)</f>
        <v>27</v>
      </c>
      <c r="I135" s="30" t="s">
        <v>159</v>
      </c>
      <c r="J135" s="8"/>
      <c r="K135" s="8"/>
      <c r="L135" s="8"/>
      <c r="M135" s="8"/>
      <c r="N135" s="8"/>
      <c r="O135" s="8"/>
      <c r="P135" s="8"/>
      <c r="Q135" s="9"/>
      <c r="S135" s="48"/>
      <c r="T135" s="48"/>
      <c r="W135" s="48"/>
      <c r="X135" s="48"/>
    </row>
    <row r="136" spans="6:24" ht="17.25" x14ac:dyDescent="0.3">
      <c r="F136" s="3" t="s">
        <v>150</v>
      </c>
      <c r="G136" s="6">
        <f>_xlfn.XLOOKUP(G106,W136:W141,X136:X141)</f>
        <v>133.6</v>
      </c>
      <c r="I136" s="10"/>
      <c r="Q136" s="11"/>
      <c r="S136" s="4">
        <v>6</v>
      </c>
      <c r="T136" s="4">
        <v>27</v>
      </c>
      <c r="W136" s="20">
        <v>6</v>
      </c>
      <c r="X136" s="21">
        <v>133.6</v>
      </c>
    </row>
    <row r="137" spans="6:24" ht="17.25" x14ac:dyDescent="0.3">
      <c r="F137" s="3" t="s">
        <v>27</v>
      </c>
      <c r="G137" s="18">
        <f>((G134*G136)/(G107/2))+(G119/G135)</f>
        <v>3045.0340740740739</v>
      </c>
      <c r="I137" s="10"/>
      <c r="N137" s="3" t="s">
        <v>160</v>
      </c>
      <c r="O137" s="18">
        <f>G87</f>
        <v>120</v>
      </c>
      <c r="Q137" s="11"/>
      <c r="S137" s="4">
        <v>8</v>
      </c>
      <c r="T137" s="4">
        <v>34.299999999999997</v>
      </c>
      <c r="W137" s="20">
        <v>8</v>
      </c>
      <c r="X137" s="21">
        <v>318</v>
      </c>
    </row>
    <row r="138" spans="6:24" ht="17.25" x14ac:dyDescent="0.3">
      <c r="F138" s="3" t="s">
        <v>185</v>
      </c>
      <c r="G138" s="18">
        <f>(N59*(G105^2)/8)/12</f>
        <v>1270.510396416</v>
      </c>
      <c r="I138" s="10"/>
      <c r="N138" s="3" t="s">
        <v>161</v>
      </c>
      <c r="O138" s="31">
        <f>G95/G96</f>
        <v>7.6771978009929987E-3</v>
      </c>
      <c r="Q138" s="11"/>
      <c r="S138" s="4">
        <v>10</v>
      </c>
      <c r="T138" s="4">
        <v>35.9</v>
      </c>
      <c r="W138" s="20">
        <v>10</v>
      </c>
      <c r="X138" s="21">
        <v>555</v>
      </c>
    </row>
    <row r="139" spans="6:24" ht="18" x14ac:dyDescent="0.3">
      <c r="F139" s="3" t="s">
        <v>30</v>
      </c>
      <c r="G139" s="26">
        <f>($G$74*G129*(($G$110-G131)^2))+(($G$74*G119/$G$111)*((($G$107/2)-G131)^2))+(G130*(G131^3)/3)</f>
        <v>2.505008530587284</v>
      </c>
      <c r="I139" s="10"/>
      <c r="N139" s="3" t="s">
        <v>162</v>
      </c>
      <c r="O139" s="31">
        <f>G97/G98</f>
        <v>1.0963710119504441E-2</v>
      </c>
      <c r="Q139" s="11"/>
      <c r="S139" s="4">
        <v>12</v>
      </c>
      <c r="T139" s="4">
        <v>37.6</v>
      </c>
      <c r="W139" s="20">
        <v>12</v>
      </c>
      <c r="X139" s="21">
        <v>863.8</v>
      </c>
    </row>
    <row r="140" spans="6:24" ht="18" x14ac:dyDescent="0.3">
      <c r="F140" s="3" t="s">
        <v>186</v>
      </c>
      <c r="G140" s="26">
        <f>IF(($G$118*0.9)&lt;$G$137,0.75*$G$136,G139)</f>
        <v>100.19999999999999</v>
      </c>
      <c r="I140" s="10"/>
      <c r="N140" s="3" t="s">
        <v>163</v>
      </c>
      <c r="O140" s="23">
        <f>G128</f>
        <v>120</v>
      </c>
      <c r="Q140" s="11"/>
      <c r="S140" s="4">
        <v>14</v>
      </c>
      <c r="T140" s="4">
        <v>39.4</v>
      </c>
      <c r="W140" s="20">
        <v>14</v>
      </c>
      <c r="X140" s="21">
        <v>1247.8</v>
      </c>
    </row>
    <row r="141" spans="6:24" ht="17.25" x14ac:dyDescent="0.3">
      <c r="F141" s="3" t="s">
        <v>146</v>
      </c>
      <c r="G141" s="18">
        <f>((3.1415^2)*($G$72*G140)/($G$105^2))</f>
        <v>75109.941472981751</v>
      </c>
      <c r="I141" s="10"/>
      <c r="N141" s="3" t="s">
        <v>164</v>
      </c>
      <c r="O141" s="6" t="str">
        <f>IF(G132&lt;=0.333,"OK","Increase Assembly Compressive Strength")</f>
        <v>OK</v>
      </c>
      <c r="Q141" s="11"/>
      <c r="S141" s="4">
        <v>16</v>
      </c>
      <c r="T141" s="4">
        <v>41.3</v>
      </c>
      <c r="W141" s="20">
        <v>16</v>
      </c>
      <c r="X141" s="21">
        <v>1710.3</v>
      </c>
    </row>
    <row r="142" spans="6:24" ht="14.45" customHeight="1" x14ac:dyDescent="0.2">
      <c r="F142" s="3" t="s">
        <v>148</v>
      </c>
      <c r="G142" s="7">
        <f>1/(1-(G120/G141))</f>
        <v>1.0037042609230089</v>
      </c>
      <c r="I142" s="10"/>
      <c r="N142" s="3" t="s">
        <v>165</v>
      </c>
      <c r="O142" s="31">
        <f>G143/G145</f>
        <v>0.65017750816627862</v>
      </c>
      <c r="Q142" s="11"/>
    </row>
    <row r="143" spans="6:24" ht="17.25" x14ac:dyDescent="0.3">
      <c r="F143" s="3" t="s">
        <v>152</v>
      </c>
      <c r="G143" s="18">
        <f>G142*$G$118</f>
        <v>2345.7197972609019</v>
      </c>
      <c r="I143" s="10"/>
      <c r="N143" s="3" t="s">
        <v>166</v>
      </c>
      <c r="O143" s="31">
        <f>G148/$G$147</f>
        <v>0.33239020787790313</v>
      </c>
      <c r="Q143" s="11"/>
    </row>
    <row r="144" spans="6:24" x14ac:dyDescent="0.2">
      <c r="F144" s="3" t="s">
        <v>24</v>
      </c>
      <c r="G144" s="7">
        <f>((G129*$G$111)+(G119/0.9))/(0.8*$G$112*G130)</f>
        <v>0.26721340388007053</v>
      </c>
      <c r="I144" s="10"/>
      <c r="N144" s="3" t="s">
        <v>167</v>
      </c>
      <c r="O144" s="31">
        <f>G150/$G$151</f>
        <v>1.2986442405288611E-2</v>
      </c>
      <c r="Q144" s="11"/>
    </row>
    <row r="145" spans="2:41" ht="18" x14ac:dyDescent="0.3">
      <c r="F145" s="3" t="s">
        <v>153</v>
      </c>
      <c r="G145" s="18">
        <f>((G119/0.9)+(G129*$G$111))*($G$110-(G144/2))</f>
        <v>3607.814431902802</v>
      </c>
      <c r="I145" s="10"/>
      <c r="N145" s="3" t="s">
        <v>168</v>
      </c>
      <c r="O145" s="31">
        <f>G152/$G$153</f>
        <v>1.8545775907559448E-2</v>
      </c>
      <c r="Q145" s="11"/>
      <c r="S145" s="49" t="s">
        <v>183</v>
      </c>
      <c r="T145" s="49"/>
      <c r="U145" s="49"/>
      <c r="V145" s="49"/>
    </row>
    <row r="146" spans="2:41" x14ac:dyDescent="0.2">
      <c r="C146" s="1" t="s">
        <v>143</v>
      </c>
      <c r="F146" s="3"/>
      <c r="G146" s="6"/>
      <c r="I146" s="10"/>
      <c r="N146" s="3" t="s">
        <v>169</v>
      </c>
      <c r="O146" s="16" t="str">
        <f>IF(G128&gt;=48,"OK","Recheck")</f>
        <v>OK</v>
      </c>
      <c r="Q146" s="11"/>
      <c r="S146" s="47" t="s">
        <v>69</v>
      </c>
      <c r="T146" s="47" t="s">
        <v>70</v>
      </c>
      <c r="U146" s="47" t="s">
        <v>71</v>
      </c>
      <c r="V146" s="47" t="s">
        <v>72</v>
      </c>
      <c r="W146" s="47" t="s">
        <v>81</v>
      </c>
    </row>
    <row r="147" spans="2:41" ht="17.25" x14ac:dyDescent="0.3">
      <c r="F147" s="3" t="s">
        <v>144</v>
      </c>
      <c r="G147" s="18">
        <f>(1.8)*(8.3*G110)*(G112^0.5)</f>
        <v>1757.7704244964345</v>
      </c>
      <c r="I147" s="10"/>
      <c r="N147" s="3" t="s">
        <v>180</v>
      </c>
      <c r="O147" s="18">
        <f>G148/(O140/12)</f>
        <v>58.426567679999991</v>
      </c>
      <c r="Q147" s="11"/>
      <c r="S147" s="48"/>
      <c r="T147" s="48"/>
      <c r="U147" s="48"/>
      <c r="V147" s="48"/>
      <c r="W147" s="48"/>
    </row>
    <row r="148" spans="2:41" ht="17.25" x14ac:dyDescent="0.3">
      <c r="F148" s="3" t="s">
        <v>145</v>
      </c>
      <c r="G148" s="18">
        <f>($G$39*(G128/12))*($G$104/2)</f>
        <v>584.26567679999994</v>
      </c>
      <c r="I148" s="10"/>
      <c r="Q148" s="11"/>
      <c r="S148" s="4">
        <v>6</v>
      </c>
      <c r="T148" s="4">
        <v>35</v>
      </c>
      <c r="U148" s="4">
        <v>38</v>
      </c>
      <c r="V148" s="4">
        <v>41</v>
      </c>
      <c r="W148" s="4">
        <f t="shared" ref="W148:W153" si="2">IF($G$29="Lightweight",T148,IF($G$29="Medium Weight",U148,V148))</f>
        <v>38</v>
      </c>
    </row>
    <row r="149" spans="2:41" x14ac:dyDescent="0.2">
      <c r="C149" s="1" t="s">
        <v>147</v>
      </c>
      <c r="F149" s="3"/>
      <c r="G149" s="18"/>
      <c r="I149" s="12"/>
      <c r="J149" s="13"/>
      <c r="K149" s="13"/>
      <c r="L149" s="13"/>
      <c r="M149" s="13"/>
      <c r="N149" s="32" t="s">
        <v>181</v>
      </c>
      <c r="O149" s="33" t="str">
        <f>IF(OR(O142&gt;1,O143&gt;1,O144&gt;1,O145&gt;1),"Redesign","OK")</f>
        <v>OK</v>
      </c>
      <c r="P149" s="13"/>
      <c r="Q149" s="14"/>
      <c r="S149" s="4">
        <v>8</v>
      </c>
      <c r="T149" s="4">
        <v>47</v>
      </c>
      <c r="U149" s="4">
        <v>51</v>
      </c>
      <c r="V149" s="4">
        <v>55</v>
      </c>
      <c r="W149" s="4">
        <f t="shared" si="2"/>
        <v>51</v>
      </c>
    </row>
    <row r="150" spans="2:41" ht="17.25" x14ac:dyDescent="0.3">
      <c r="F150" s="3" t="s">
        <v>119</v>
      </c>
      <c r="G150" s="27">
        <f>(IF($G$138&lt;$G$137,(5*$G$138*$G$105*$G$105)/(48*$G$72*$G$136),(5*$G$137*$G$105*$G$105)/(48*$G$72*$G$136)+(5*($G$138-$G$137)*$G$105*$G$105)/(48*$G$72*$G$139)))*G142</f>
        <v>1.309033394453092E-2</v>
      </c>
      <c r="S150" s="4">
        <v>10</v>
      </c>
      <c r="T150" s="4">
        <v>56</v>
      </c>
      <c r="U150" s="4">
        <v>60</v>
      </c>
      <c r="V150" s="4">
        <v>65</v>
      </c>
      <c r="W150" s="4">
        <f t="shared" si="2"/>
        <v>60</v>
      </c>
    </row>
    <row r="151" spans="2:41" ht="16.5" customHeight="1" x14ac:dyDescent="0.3">
      <c r="F151" s="3" t="s">
        <v>118</v>
      </c>
      <c r="G151" s="27">
        <f>0.007*G105</f>
        <v>1.008</v>
      </c>
      <c r="S151" s="4">
        <v>12</v>
      </c>
      <c r="T151" s="4">
        <v>65</v>
      </c>
      <c r="U151" s="4">
        <v>70</v>
      </c>
      <c r="V151" s="4">
        <v>75</v>
      </c>
      <c r="W151" s="4">
        <f t="shared" si="2"/>
        <v>70</v>
      </c>
      <c r="AO151" s="16"/>
    </row>
    <row r="152" spans="2:41" ht="16.5" customHeight="1" x14ac:dyDescent="0.3">
      <c r="F152" s="3" t="s">
        <v>120</v>
      </c>
      <c r="G152" s="27">
        <f>((5*(($G$6*$G$105^2/8)/12)*($G$105^2))/(48*$G$72*$G$136))*G142</f>
        <v>1.1127465544535668E-2</v>
      </c>
      <c r="N152" s="3"/>
      <c r="O152" s="6"/>
      <c r="S152" s="4">
        <v>14</v>
      </c>
      <c r="T152" s="4">
        <v>74</v>
      </c>
      <c r="U152" s="4">
        <v>80</v>
      </c>
      <c r="V152" s="4">
        <v>86</v>
      </c>
      <c r="W152" s="4">
        <f t="shared" si="2"/>
        <v>80</v>
      </c>
      <c r="AO152" s="16"/>
    </row>
    <row r="153" spans="2:41" ht="16.5" customHeight="1" x14ac:dyDescent="0.3">
      <c r="F153" s="3" t="s">
        <v>121</v>
      </c>
      <c r="G153" s="27">
        <f>G105/240</f>
        <v>0.6</v>
      </c>
      <c r="S153" s="4">
        <v>16</v>
      </c>
      <c r="T153" s="4">
        <v>84</v>
      </c>
      <c r="U153" s="4">
        <v>90</v>
      </c>
      <c r="V153" s="4">
        <v>96</v>
      </c>
      <c r="W153" s="4">
        <f t="shared" si="2"/>
        <v>90</v>
      </c>
      <c r="AO153" s="16"/>
    </row>
    <row r="154" spans="2:41" ht="16.5" customHeight="1" x14ac:dyDescent="0.2">
      <c r="AO154" s="16"/>
    </row>
    <row r="155" spans="2:41" ht="16.5" customHeight="1" x14ac:dyDescent="0.2">
      <c r="B155" s="1" t="s">
        <v>187</v>
      </c>
      <c r="AO155" s="16"/>
    </row>
    <row r="156" spans="2:41" ht="16.5" customHeight="1" x14ac:dyDescent="0.2">
      <c r="C156" s="1" t="s">
        <v>142</v>
      </c>
      <c r="S156" s="1" t="s">
        <v>184</v>
      </c>
      <c r="AO156" s="16"/>
    </row>
    <row r="157" spans="2:41" ht="16.5" customHeight="1" x14ac:dyDescent="0.2">
      <c r="F157" s="3" t="s">
        <v>99</v>
      </c>
      <c r="G157" s="18">
        <f>$G$119</f>
        <v>132.08000000000001</v>
      </c>
      <c r="V157" s="3" t="s">
        <v>41</v>
      </c>
      <c r="W157" s="7">
        <f>$G$54</f>
        <v>12</v>
      </c>
      <c r="AO157" s="16"/>
    </row>
    <row r="158" spans="2:41" ht="16.5" customHeight="1" x14ac:dyDescent="0.2">
      <c r="F158" s="3" t="s">
        <v>100</v>
      </c>
      <c r="G158" s="18">
        <f>IF(O146="OK",G120,W168)</f>
        <v>277.2</v>
      </c>
      <c r="V158" s="3" t="s">
        <v>13</v>
      </c>
      <c r="W158" s="16">
        <f>$G$55</f>
        <v>6</v>
      </c>
      <c r="AO158" s="16"/>
    </row>
    <row r="159" spans="2:41" ht="16.5" x14ac:dyDescent="0.2">
      <c r="F159" s="3" t="s">
        <v>182</v>
      </c>
      <c r="G159" s="23">
        <f>IF(O149="Redesign",O140-8,O140)</f>
        <v>120</v>
      </c>
      <c r="N159" s="3" t="s">
        <v>163</v>
      </c>
      <c r="O159" s="23">
        <f>G159</f>
        <v>120</v>
      </c>
      <c r="V159" s="3" t="s">
        <v>96</v>
      </c>
      <c r="W159" s="23">
        <f>_xlfn.XLOOKUP(W158,S148:S153,W148:W153)</f>
        <v>38</v>
      </c>
      <c r="AM159" s="3"/>
    </row>
    <row r="160" spans="2:41" ht="16.5" x14ac:dyDescent="0.2">
      <c r="F160" s="3" t="s">
        <v>139</v>
      </c>
      <c r="G160" s="19">
        <f>$G$109/(G159/12)</f>
        <v>0.02</v>
      </c>
      <c r="N160" s="3" t="s">
        <v>164</v>
      </c>
      <c r="O160" s="6" t="str">
        <f>IF(G163&lt;=0.333,"OK","Increase Assembly Compressive Strength")</f>
        <v>OK</v>
      </c>
      <c r="V160" s="3" t="s">
        <v>97</v>
      </c>
      <c r="W160" s="6">
        <f>W159*W157/2</f>
        <v>228</v>
      </c>
    </row>
    <row r="161" spans="3:42" ht="17.25" x14ac:dyDescent="0.3">
      <c r="F161" s="3" t="s">
        <v>138</v>
      </c>
      <c r="G161" s="6">
        <f>IF(G159&gt;6*$G$106,(6*$G$106)/(G159/12),6*$G$106)</f>
        <v>3.6</v>
      </c>
      <c r="N161" s="3" t="s">
        <v>165</v>
      </c>
      <c r="O161" s="31">
        <f>G168/G170</f>
        <v>0.65017750816627862</v>
      </c>
      <c r="V161" s="3" t="s">
        <v>98</v>
      </c>
      <c r="W161" s="6">
        <f>IF(OR($G$32="A",$G$32="B"),0,0.2*$G$22*W160)</f>
        <v>12.16</v>
      </c>
    </row>
    <row r="162" spans="3:42" x14ac:dyDescent="0.2">
      <c r="F162" s="3" t="s">
        <v>25</v>
      </c>
      <c r="G162" s="19">
        <f>IF(G159&gt;6*$G$106,((G160*$G$111)+G158)/(0.64*$G$112*G161),((G160*$G$111)+G158)/(0.64*$G$112*12))</f>
        <v>0.36636904761904765</v>
      </c>
      <c r="N162" s="3" t="s">
        <v>166</v>
      </c>
      <c r="O162" s="31">
        <f>G172/$G$147</f>
        <v>0.33239020787790313</v>
      </c>
      <c r="V162" s="3" t="s">
        <v>90</v>
      </c>
      <c r="W162" s="6">
        <f>1.4*($G$4+W160)</f>
        <v>319.2</v>
      </c>
    </row>
    <row r="163" spans="3:42" ht="17.25" x14ac:dyDescent="0.3">
      <c r="F163" s="3" t="s">
        <v>140</v>
      </c>
      <c r="G163" s="19">
        <f>G162/$G$110</f>
        <v>0.13026455026455028</v>
      </c>
      <c r="N163" s="3" t="s">
        <v>167</v>
      </c>
      <c r="O163" s="31">
        <f>G174/$G$151</f>
        <v>1.2986442405288611E-2</v>
      </c>
      <c r="V163" s="3" t="s">
        <v>89</v>
      </c>
      <c r="W163" s="6">
        <f>1.2*($G$4+W160)+1.6*($G$5)</f>
        <v>273.59999999999997</v>
      </c>
    </row>
    <row r="164" spans="3:42" ht="18" x14ac:dyDescent="0.3">
      <c r="F164" s="3" t="s">
        <v>151</v>
      </c>
      <c r="G164" s="26">
        <f>($G$74*G160*(($G$110-G162)^2))+(($G$74*G157/$G$111)*((($G$107/2)-G162)^2))+(G161*(G162^3)/3)</f>
        <v>2.505008530587284</v>
      </c>
      <c r="N164" s="3" t="s">
        <v>168</v>
      </c>
      <c r="O164" s="31">
        <f>G175/$G$153</f>
        <v>1.8545775907559448E-2</v>
      </c>
      <c r="V164" s="3" t="s">
        <v>91</v>
      </c>
      <c r="W164" s="6">
        <f>1.2*($G$4+W160)+1*($G$5)</f>
        <v>273.59999999999997</v>
      </c>
    </row>
    <row r="165" spans="3:42" ht="18" x14ac:dyDescent="0.3">
      <c r="F165" s="3" t="s">
        <v>186</v>
      </c>
      <c r="G165" s="26">
        <f>IF(($G$118*0.9)&lt;$G$137,0.75*$G$136,G164)</f>
        <v>100.19999999999999</v>
      </c>
      <c r="N165" s="3" t="s">
        <v>169</v>
      </c>
      <c r="O165" s="16" t="str">
        <f>IF(G159&gt;=24,"OK","Recheck")</f>
        <v>OK</v>
      </c>
      <c r="V165" s="3" t="s">
        <v>92</v>
      </c>
      <c r="W165" s="6">
        <f>0.9*(W160+$G$4)</f>
        <v>205.20000000000002</v>
      </c>
      <c r="AO165" s="3"/>
      <c r="AP165" s="6"/>
    </row>
    <row r="166" spans="3:42" ht="17.25" x14ac:dyDescent="0.3">
      <c r="F166" s="3" t="s">
        <v>146</v>
      </c>
      <c r="G166" s="18">
        <f>((3.1415^2)*($G$72*G165)/($G$105^2))</f>
        <v>75109.941472981751</v>
      </c>
      <c r="N166" s="3"/>
      <c r="O166" s="18"/>
      <c r="V166" s="3" t="s">
        <v>94</v>
      </c>
      <c r="W166" s="6">
        <f>1.2*(W160+$G$4)+1*(W161)+1*($G$5)</f>
        <v>285.76</v>
      </c>
    </row>
    <row r="167" spans="3:42" ht="17.25" x14ac:dyDescent="0.3">
      <c r="F167" s="3" t="s">
        <v>148</v>
      </c>
      <c r="G167" s="7">
        <f>1/(1-(G158/G166))</f>
        <v>1.0037042609230089</v>
      </c>
      <c r="V167" s="3" t="s">
        <v>95</v>
      </c>
      <c r="W167" s="6">
        <f>0.9*(W160+$G$4)-1*(W161)</f>
        <v>193.04000000000002</v>
      </c>
    </row>
    <row r="168" spans="3:42" ht="17.25" x14ac:dyDescent="0.3">
      <c r="F168" s="3" t="s">
        <v>152</v>
      </c>
      <c r="G168" s="18">
        <f>G167*$G$118</f>
        <v>2345.7197972609019</v>
      </c>
      <c r="N168" s="28" t="s">
        <v>181</v>
      </c>
      <c r="O168" s="1" t="str">
        <f>IF(OR(O161&gt;1,O162&gt;1,O163&gt;1,O164&gt;1),"Redesign","OK")</f>
        <v>OK</v>
      </c>
      <c r="V168" s="3" t="s">
        <v>100</v>
      </c>
      <c r="W168" s="6">
        <f>MAX(W162:W167)</f>
        <v>319.2</v>
      </c>
    </row>
    <row r="169" spans="3:42" x14ac:dyDescent="0.2">
      <c r="F169" s="3" t="s">
        <v>24</v>
      </c>
      <c r="G169" s="7">
        <f>((G160*$G$111)+(G157/0.9))/(0.8*$G$112*G161)</f>
        <v>0.26721340388007053</v>
      </c>
    </row>
    <row r="170" spans="3:42" ht="17.25" x14ac:dyDescent="0.3">
      <c r="F170" s="3" t="s">
        <v>153</v>
      </c>
      <c r="G170" s="18">
        <f>((G157/0.9)+(G160*$G$111))*($G$110-(G169/2))</f>
        <v>3607.814431902802</v>
      </c>
    </row>
    <row r="171" spans="3:42" x14ac:dyDescent="0.2">
      <c r="C171" s="1" t="s">
        <v>143</v>
      </c>
    </row>
    <row r="172" spans="3:42" ht="17.25" x14ac:dyDescent="0.3">
      <c r="F172" s="3" t="s">
        <v>145</v>
      </c>
      <c r="G172" s="18">
        <f>($G$39*(G159/12))*($G$104/2)</f>
        <v>584.26567679999994</v>
      </c>
    </row>
    <row r="173" spans="3:42" x14ac:dyDescent="0.2">
      <c r="C173" s="1" t="s">
        <v>147</v>
      </c>
      <c r="F173" s="3"/>
      <c r="G173" s="18"/>
    </row>
    <row r="174" spans="3:42" ht="17.25" x14ac:dyDescent="0.3">
      <c r="F174" s="3" t="s">
        <v>119</v>
      </c>
      <c r="G174" s="27">
        <f>(IF($G$138&lt;$G$137,(5*$G$138*$G$105*$G$105)/(48*$G$72*$G$136),(5*$G$137*$G$105*$G$105)/(48*$G$72*$G$136)+(5*($G$138-$G$137)*$G$105*$G$105)/(48*$G$72*G164)))*G167</f>
        <v>1.309033394453092E-2</v>
      </c>
    </row>
    <row r="175" spans="3:42" ht="17.25" x14ac:dyDescent="0.3">
      <c r="F175" s="3" t="s">
        <v>120</v>
      </c>
      <c r="G175" s="27">
        <f>((5*(($G$6*$G$105^2/8)/12)*($G$105^2))/(48*$G$72*$G$136))*G167</f>
        <v>1.1127465544535668E-2</v>
      </c>
    </row>
    <row r="177" spans="2:15" x14ac:dyDescent="0.2">
      <c r="B177" s="1" t="s">
        <v>188</v>
      </c>
    </row>
    <row r="178" spans="2:15" x14ac:dyDescent="0.2">
      <c r="C178" s="1" t="s">
        <v>142</v>
      </c>
    </row>
    <row r="179" spans="2:15" x14ac:dyDescent="0.2">
      <c r="F179" s="3" t="s">
        <v>99</v>
      </c>
      <c r="G179" s="18">
        <f>$G$119</f>
        <v>132.08000000000001</v>
      </c>
    </row>
    <row r="180" spans="2:15" x14ac:dyDescent="0.2">
      <c r="F180" s="3" t="s">
        <v>100</v>
      </c>
      <c r="G180" s="18">
        <f>$G$158</f>
        <v>277.2</v>
      </c>
    </row>
    <row r="181" spans="2:15" x14ac:dyDescent="0.2">
      <c r="F181" s="3" t="s">
        <v>182</v>
      </c>
      <c r="G181" s="23">
        <f>IF(O168="Redesign",O159-8,O159)</f>
        <v>120</v>
      </c>
      <c r="N181" s="3" t="s">
        <v>163</v>
      </c>
      <c r="O181" s="23">
        <f>G181</f>
        <v>120</v>
      </c>
    </row>
    <row r="182" spans="2:15" ht="16.5" x14ac:dyDescent="0.2">
      <c r="F182" s="3" t="s">
        <v>139</v>
      </c>
      <c r="G182" s="19">
        <f>$G$109/(G181/12)</f>
        <v>0.02</v>
      </c>
      <c r="N182" s="3" t="s">
        <v>164</v>
      </c>
      <c r="O182" s="6" t="str">
        <f>IF(G185&lt;=0.333,"OK","Increase Assembly Compressive Strength")</f>
        <v>OK</v>
      </c>
    </row>
    <row r="183" spans="2:15" x14ac:dyDescent="0.2">
      <c r="F183" s="3" t="s">
        <v>138</v>
      </c>
      <c r="G183" s="6">
        <f>IF(G181&gt;6*$G$106,(6*$G$106)/(G181/12),6*$G$106)</f>
        <v>3.6</v>
      </c>
      <c r="N183" s="3" t="s">
        <v>165</v>
      </c>
      <c r="O183" s="31">
        <f>G190/G192</f>
        <v>0.65017750816627862</v>
      </c>
    </row>
    <row r="184" spans="2:15" x14ac:dyDescent="0.2">
      <c r="F184" s="3" t="s">
        <v>25</v>
      </c>
      <c r="G184" s="19">
        <f>IF(G181&gt;6*$G$106,((G182*$G$111)+G180)/(0.64*$G$112*G183),((G182*$G$111)+G180)/(0.64*$G$112*12))</f>
        <v>0.36636904761904765</v>
      </c>
      <c r="N184" s="3" t="s">
        <v>166</v>
      </c>
      <c r="O184" s="31">
        <f>G194/$G$147</f>
        <v>0.33239020787790313</v>
      </c>
    </row>
    <row r="185" spans="2:15" ht="17.25" x14ac:dyDescent="0.3">
      <c r="F185" s="3" t="s">
        <v>140</v>
      </c>
      <c r="G185" s="19">
        <f>G184/$G$110</f>
        <v>0.13026455026455028</v>
      </c>
      <c r="N185" s="3" t="s">
        <v>167</v>
      </c>
      <c r="O185" s="31">
        <f>G196/$G$151</f>
        <v>1.2986442405288611E-2</v>
      </c>
    </row>
    <row r="186" spans="2:15" ht="18" x14ac:dyDescent="0.3">
      <c r="F186" s="3" t="s">
        <v>151</v>
      </c>
      <c r="G186" s="26">
        <f>($G$74*G182*(($G$110-G184)^2))+(($G$74*G179/$G$111)*((($G$107/2)-G184)^2))+(G183*(G184^3)/3)</f>
        <v>2.505008530587284</v>
      </c>
      <c r="N186" s="3" t="s">
        <v>168</v>
      </c>
      <c r="O186" s="31">
        <f>G197/$G$153</f>
        <v>1.8545775907559448E-2</v>
      </c>
    </row>
    <row r="187" spans="2:15" ht="18" x14ac:dyDescent="0.3">
      <c r="F187" s="3" t="s">
        <v>186</v>
      </c>
      <c r="G187" s="26">
        <f>IF(($G$118*0.9)&lt;$G$137,0.75*$G$136,G186)</f>
        <v>100.19999999999999</v>
      </c>
      <c r="N187" s="3" t="s">
        <v>169</v>
      </c>
      <c r="O187" s="16" t="str">
        <f>IF(G181&gt;=24,"OK","Recheck")</f>
        <v>OK</v>
      </c>
    </row>
    <row r="188" spans="2:15" ht="17.25" x14ac:dyDescent="0.3">
      <c r="F188" s="3" t="s">
        <v>146</v>
      </c>
      <c r="G188" s="18">
        <f>((3.1415^2)*($G$72*G187)/($G$105^2))</f>
        <v>75109.941472981751</v>
      </c>
      <c r="N188" s="3"/>
      <c r="O188" s="18"/>
    </row>
    <row r="189" spans="2:15" x14ac:dyDescent="0.2">
      <c r="F189" s="3" t="s">
        <v>148</v>
      </c>
      <c r="G189" s="7">
        <f>1/(1-(G180/G188))</f>
        <v>1.0037042609230089</v>
      </c>
    </row>
    <row r="190" spans="2:15" ht="17.25" x14ac:dyDescent="0.3">
      <c r="F190" s="3" t="s">
        <v>152</v>
      </c>
      <c r="G190" s="18">
        <f>G189*$G$118</f>
        <v>2345.7197972609019</v>
      </c>
      <c r="N190" s="28" t="s">
        <v>181</v>
      </c>
      <c r="O190" s="1" t="str">
        <f>IF(OR(O183&gt;1,O184&gt;1,O185&gt;1,O186&gt;1),"Redesign","OK")</f>
        <v>OK</v>
      </c>
    </row>
    <row r="191" spans="2:15" x14ac:dyDescent="0.2">
      <c r="F191" s="3" t="s">
        <v>24</v>
      </c>
      <c r="G191" s="7">
        <f>((G182*$G$111)+(G179/0.9))/(0.8*$G$112*G183)</f>
        <v>0.26721340388007053</v>
      </c>
    </row>
    <row r="192" spans="2:15" ht="17.25" x14ac:dyDescent="0.3">
      <c r="F192" s="3" t="s">
        <v>153</v>
      </c>
      <c r="G192" s="18">
        <f>((G179/0.9)+(G182*$G$111))*($G$110-(G191/2))</f>
        <v>3607.814431902802</v>
      </c>
    </row>
    <row r="193" spans="2:15" x14ac:dyDescent="0.2">
      <c r="C193" s="1" t="s">
        <v>143</v>
      </c>
    </row>
    <row r="194" spans="2:15" ht="17.25" x14ac:dyDescent="0.3">
      <c r="F194" s="3" t="s">
        <v>145</v>
      </c>
      <c r="G194" s="18">
        <f>($G$39*(G181/12))*($G$104/2)</f>
        <v>584.26567679999994</v>
      </c>
    </row>
    <row r="195" spans="2:15" x14ac:dyDescent="0.2">
      <c r="C195" s="1" t="s">
        <v>147</v>
      </c>
      <c r="F195" s="3"/>
      <c r="G195" s="18"/>
    </row>
    <row r="196" spans="2:15" ht="17.25" x14ac:dyDescent="0.3">
      <c r="F196" s="3" t="s">
        <v>119</v>
      </c>
      <c r="G196" s="27">
        <f>(IF($G$138&lt;$G$137,(5*$G$138*$G$105*$G$105)/(48*$G$72*$G$136),(5*$G$137*$G$105*$G$105)/(48*$G$72*$G$136)+(5*($G$138-$G$137)*$G$105*$G$105)/(48*$G$72*G186)))*G189</f>
        <v>1.309033394453092E-2</v>
      </c>
    </row>
    <row r="197" spans="2:15" ht="17.25" x14ac:dyDescent="0.3">
      <c r="F197" s="3" t="s">
        <v>120</v>
      </c>
      <c r="G197" s="27">
        <f>((5*(($G$6*$G$105^2/8)/12)*($G$105^2))/(48*$G$72*$G$136))*G189</f>
        <v>1.1127465544535668E-2</v>
      </c>
    </row>
    <row r="199" spans="2:15" x14ac:dyDescent="0.2">
      <c r="B199" s="1" t="s">
        <v>189</v>
      </c>
    </row>
    <row r="200" spans="2:15" x14ac:dyDescent="0.2">
      <c r="C200" s="1" t="s">
        <v>142</v>
      </c>
    </row>
    <row r="201" spans="2:15" x14ac:dyDescent="0.2">
      <c r="F201" s="3" t="s">
        <v>99</v>
      </c>
      <c r="G201" s="18">
        <f>$G$119</f>
        <v>132.08000000000001</v>
      </c>
    </row>
    <row r="202" spans="2:15" x14ac:dyDescent="0.2">
      <c r="F202" s="3" t="s">
        <v>100</v>
      </c>
      <c r="G202" s="18">
        <f>$G$158</f>
        <v>277.2</v>
      </c>
    </row>
    <row r="203" spans="2:15" x14ac:dyDescent="0.2">
      <c r="F203" s="3" t="s">
        <v>182</v>
      </c>
      <c r="G203" s="23">
        <f>IF(O190="Redesign",O181-8,O181)</f>
        <v>120</v>
      </c>
      <c r="N203" s="3" t="s">
        <v>163</v>
      </c>
      <c r="O203" s="23">
        <f>G203</f>
        <v>120</v>
      </c>
    </row>
    <row r="204" spans="2:15" ht="16.5" x14ac:dyDescent="0.2">
      <c r="F204" s="3" t="s">
        <v>139</v>
      </c>
      <c r="G204" s="19">
        <f>$G$109/(G203/12)</f>
        <v>0.02</v>
      </c>
      <c r="N204" s="3" t="s">
        <v>164</v>
      </c>
      <c r="O204" s="6" t="str">
        <f>IF(G207&lt;=0.333,"OK","Increase Assembly Compressive Strength")</f>
        <v>OK</v>
      </c>
    </row>
    <row r="205" spans="2:15" x14ac:dyDescent="0.2">
      <c r="F205" s="3" t="s">
        <v>138</v>
      </c>
      <c r="G205" s="6">
        <f>IF(G203&gt;6*$G$106,(6*$G$106)/(G203/12),6*$G$106)</f>
        <v>3.6</v>
      </c>
      <c r="N205" s="3" t="s">
        <v>165</v>
      </c>
      <c r="O205" s="31">
        <f>G212/G214</f>
        <v>0.65017750816627862</v>
      </c>
    </row>
    <row r="206" spans="2:15" x14ac:dyDescent="0.2">
      <c r="F206" s="3" t="s">
        <v>25</v>
      </c>
      <c r="G206" s="19">
        <f>IF(G203&gt;6*$G$106,((G204*$G$111)+G202)/(0.64*$G$112*G205),((G204*$G$111)+G202)/(0.64*$G$112*12))</f>
        <v>0.36636904761904765</v>
      </c>
      <c r="N206" s="3" t="s">
        <v>166</v>
      </c>
      <c r="O206" s="31">
        <f>G216/$G$147</f>
        <v>0.33239020787790313</v>
      </c>
    </row>
    <row r="207" spans="2:15" ht="17.25" x14ac:dyDescent="0.3">
      <c r="F207" s="3" t="s">
        <v>140</v>
      </c>
      <c r="G207" s="19">
        <f>G206/$G$110</f>
        <v>0.13026455026455028</v>
      </c>
      <c r="N207" s="3" t="s">
        <v>167</v>
      </c>
      <c r="O207" s="31">
        <f>G218/$G$151</f>
        <v>1.2986442405288611E-2</v>
      </c>
    </row>
    <row r="208" spans="2:15" ht="18" x14ac:dyDescent="0.3">
      <c r="F208" s="3" t="s">
        <v>151</v>
      </c>
      <c r="G208" s="26">
        <f>($G$74*G204*(($G$110-G206)^2))+(($G$74*G201/$G$111)*((($G$107/2)-G206)^2))+(G205*(G206^3)/3)</f>
        <v>2.505008530587284</v>
      </c>
      <c r="N208" s="3" t="s">
        <v>168</v>
      </c>
      <c r="O208" s="31">
        <f>G219/$G$153</f>
        <v>1.8545775907559448E-2</v>
      </c>
    </row>
    <row r="209" spans="2:15" ht="18" x14ac:dyDescent="0.3">
      <c r="F209" s="3" t="s">
        <v>186</v>
      </c>
      <c r="G209" s="26">
        <f>IF(($G$118*0.9)&lt;$G$137,0.75*$G$136,G208)</f>
        <v>100.19999999999999</v>
      </c>
      <c r="N209" s="3" t="s">
        <v>169</v>
      </c>
      <c r="O209" s="16" t="str">
        <f>IF(G203&gt;=24,"OK","Recheck")</f>
        <v>OK</v>
      </c>
    </row>
    <row r="210" spans="2:15" ht="17.25" x14ac:dyDescent="0.3">
      <c r="F210" s="3" t="s">
        <v>146</v>
      </c>
      <c r="G210" s="18">
        <f>((3.1415^2)*($G$72*G209)/($G$105^2))</f>
        <v>75109.941472981751</v>
      </c>
      <c r="N210" s="3"/>
      <c r="O210" s="18"/>
    </row>
    <row r="211" spans="2:15" x14ac:dyDescent="0.2">
      <c r="F211" s="3" t="s">
        <v>148</v>
      </c>
      <c r="G211" s="7">
        <f>1/(1-(G202/G210))</f>
        <v>1.0037042609230089</v>
      </c>
    </row>
    <row r="212" spans="2:15" ht="17.25" x14ac:dyDescent="0.3">
      <c r="F212" s="3" t="s">
        <v>152</v>
      </c>
      <c r="G212" s="18">
        <f>G211*$G$118</f>
        <v>2345.7197972609019</v>
      </c>
      <c r="N212" s="28" t="s">
        <v>181</v>
      </c>
      <c r="O212" s="1" t="str">
        <f>IF(OR(O205&gt;1,O206&gt;1,O207&gt;1,O208&gt;1),"Redesign","OK")</f>
        <v>OK</v>
      </c>
    </row>
    <row r="213" spans="2:15" x14ac:dyDescent="0.2">
      <c r="F213" s="3" t="s">
        <v>24</v>
      </c>
      <c r="G213" s="7">
        <f>((G204*$G$111)+(G201/0.9))/(0.8*$G$112*G205)</f>
        <v>0.26721340388007053</v>
      </c>
    </row>
    <row r="214" spans="2:15" ht="17.25" x14ac:dyDescent="0.3">
      <c r="F214" s="3" t="s">
        <v>153</v>
      </c>
      <c r="G214" s="18">
        <f>((G201/0.9)+(G204*$G$111))*($G$110-(G213/2))</f>
        <v>3607.814431902802</v>
      </c>
    </row>
    <row r="215" spans="2:15" x14ac:dyDescent="0.2">
      <c r="C215" s="1" t="s">
        <v>143</v>
      </c>
    </row>
    <row r="216" spans="2:15" ht="17.25" x14ac:dyDescent="0.3">
      <c r="F216" s="3" t="s">
        <v>145</v>
      </c>
      <c r="G216" s="18">
        <f>($G$39*(G203/12))*($G$104/2)</f>
        <v>584.26567679999994</v>
      </c>
    </row>
    <row r="217" spans="2:15" x14ac:dyDescent="0.2">
      <c r="C217" s="1" t="s">
        <v>147</v>
      </c>
      <c r="F217" s="3"/>
      <c r="G217" s="18"/>
    </row>
    <row r="218" spans="2:15" ht="17.25" x14ac:dyDescent="0.3">
      <c r="F218" s="3" t="s">
        <v>119</v>
      </c>
      <c r="G218" s="27">
        <f>(IF($G$138&lt;$G$137,(5*$G$138*$G$105*$G$105)/(48*$G$72*$G$136),(5*$G$137*$G$105*$G$105)/(48*$G$72*$G$136)+(5*($G$138-$G$137)*$G$105*$G$105)/(48*$G$72*G208)))*G211</f>
        <v>1.309033394453092E-2</v>
      </c>
    </row>
    <row r="219" spans="2:15" ht="17.25" x14ac:dyDescent="0.3">
      <c r="F219" s="3" t="s">
        <v>120</v>
      </c>
      <c r="G219" s="27">
        <f>((5*(($G$6*$G$105^2/8)/12)*($G$105^2))/(48*$G$72*$G$136))*G211</f>
        <v>1.1127465544535668E-2</v>
      </c>
    </row>
    <row r="221" spans="2:15" x14ac:dyDescent="0.2">
      <c r="B221" s="1" t="s">
        <v>190</v>
      </c>
    </row>
    <row r="222" spans="2:15" x14ac:dyDescent="0.2">
      <c r="C222" s="1" t="s">
        <v>142</v>
      </c>
    </row>
    <row r="223" spans="2:15" x14ac:dyDescent="0.2">
      <c r="F223" s="3" t="s">
        <v>99</v>
      </c>
      <c r="G223" s="18">
        <f>$G$119</f>
        <v>132.08000000000001</v>
      </c>
    </row>
    <row r="224" spans="2:15" x14ac:dyDescent="0.2">
      <c r="F224" s="3" t="s">
        <v>100</v>
      </c>
      <c r="G224" s="18">
        <f>$G$158</f>
        <v>277.2</v>
      </c>
    </row>
    <row r="225" spans="3:15" x14ac:dyDescent="0.2">
      <c r="F225" s="3" t="s">
        <v>182</v>
      </c>
      <c r="G225" s="23">
        <f>IF(O212="Redesign",O203-8,O203)</f>
        <v>120</v>
      </c>
      <c r="N225" s="3" t="s">
        <v>163</v>
      </c>
      <c r="O225" s="23">
        <f>G225</f>
        <v>120</v>
      </c>
    </row>
    <row r="226" spans="3:15" ht="16.5" x14ac:dyDescent="0.2">
      <c r="F226" s="3" t="s">
        <v>139</v>
      </c>
      <c r="G226" s="19">
        <f>$G$109/(G225/12)</f>
        <v>0.02</v>
      </c>
      <c r="N226" s="3" t="s">
        <v>164</v>
      </c>
      <c r="O226" s="6" t="str">
        <f>IF(G229&lt;=0.333,"OK","Increase Assembly Compressive Strength")</f>
        <v>OK</v>
      </c>
    </row>
    <row r="227" spans="3:15" x14ac:dyDescent="0.2">
      <c r="F227" s="3" t="s">
        <v>138</v>
      </c>
      <c r="G227" s="6">
        <f>IF(G225&gt;6*$G$106,(6*$G$106)/(G225/12),6*$G$106)</f>
        <v>3.6</v>
      </c>
      <c r="N227" s="3" t="s">
        <v>165</v>
      </c>
      <c r="O227" s="31">
        <f>G234/G236</f>
        <v>0.65017750816627862</v>
      </c>
    </row>
    <row r="228" spans="3:15" x14ac:dyDescent="0.2">
      <c r="F228" s="3" t="s">
        <v>25</v>
      </c>
      <c r="G228" s="19">
        <f>IF(G225&gt;6*$G$106,((G226*$G$111)+G224)/(0.64*$G$112*G227),((G226*$G$111)+G224)/(0.64*$G$112*12))</f>
        <v>0.36636904761904765</v>
      </c>
      <c r="N228" s="3" t="s">
        <v>166</v>
      </c>
      <c r="O228" s="31">
        <f>G238/$G$147</f>
        <v>0.33239020787790313</v>
      </c>
    </row>
    <row r="229" spans="3:15" ht="17.25" x14ac:dyDescent="0.3">
      <c r="F229" s="3" t="s">
        <v>140</v>
      </c>
      <c r="G229" s="19">
        <f>G228/$G$110</f>
        <v>0.13026455026455028</v>
      </c>
      <c r="N229" s="3" t="s">
        <v>167</v>
      </c>
      <c r="O229" s="31">
        <f>G240/$G$151</f>
        <v>1.2986442405288611E-2</v>
      </c>
    </row>
    <row r="230" spans="3:15" ht="18" x14ac:dyDescent="0.3">
      <c r="F230" s="3" t="s">
        <v>151</v>
      </c>
      <c r="G230" s="26">
        <f>($G$74*G226*(($G$110-G228)^2))+(($G$74*G223/$G$111)*((($G$107/2)-G228)^2))+(G227*(G228^3)/3)</f>
        <v>2.505008530587284</v>
      </c>
      <c r="N230" s="3" t="s">
        <v>168</v>
      </c>
      <c r="O230" s="31">
        <f>G241/$G$153</f>
        <v>1.8545775907559448E-2</v>
      </c>
    </row>
    <row r="231" spans="3:15" ht="18" x14ac:dyDescent="0.3">
      <c r="F231" s="3" t="s">
        <v>186</v>
      </c>
      <c r="G231" s="26">
        <f>IF(($G$118*0.9)&lt;$G$137,0.75*$G$136,G230)</f>
        <v>100.19999999999999</v>
      </c>
      <c r="N231" s="3" t="s">
        <v>169</v>
      </c>
      <c r="O231" s="16" t="str">
        <f>IF(G225&gt;=24,"OK","Recheck")</f>
        <v>OK</v>
      </c>
    </row>
    <row r="232" spans="3:15" ht="17.25" x14ac:dyDescent="0.3">
      <c r="F232" s="3" t="s">
        <v>146</v>
      </c>
      <c r="G232" s="18">
        <f>((3.1415^2)*($G$72*G231)/($G$105^2))</f>
        <v>75109.941472981751</v>
      </c>
      <c r="N232" s="3"/>
      <c r="O232" s="18"/>
    </row>
    <row r="233" spans="3:15" x14ac:dyDescent="0.2">
      <c r="F233" s="3" t="s">
        <v>148</v>
      </c>
      <c r="G233" s="7">
        <f>1/(1-(G224/G232))</f>
        <v>1.0037042609230089</v>
      </c>
    </row>
    <row r="234" spans="3:15" ht="17.25" x14ac:dyDescent="0.3">
      <c r="F234" s="3" t="s">
        <v>152</v>
      </c>
      <c r="G234" s="18">
        <f>G233*$G$118</f>
        <v>2345.7197972609019</v>
      </c>
      <c r="N234" s="28" t="s">
        <v>181</v>
      </c>
      <c r="O234" s="1" t="str">
        <f>IF(OR(O227&gt;1,O228&gt;1,O229&gt;1,O230&gt;1),"Redesign","OK")</f>
        <v>OK</v>
      </c>
    </row>
    <row r="235" spans="3:15" x14ac:dyDescent="0.2">
      <c r="F235" s="3" t="s">
        <v>24</v>
      </c>
      <c r="G235" s="7">
        <f>((G226*$G$111)+(G223/0.9))/(0.8*$G$112*G227)</f>
        <v>0.26721340388007053</v>
      </c>
    </row>
    <row r="236" spans="3:15" ht="17.25" x14ac:dyDescent="0.3">
      <c r="F236" s="3" t="s">
        <v>153</v>
      </c>
      <c r="G236" s="18">
        <f>((G223/0.9)+(G226*$G$111))*($G$110-(G235/2))</f>
        <v>3607.814431902802</v>
      </c>
    </row>
    <row r="237" spans="3:15" x14ac:dyDescent="0.2">
      <c r="C237" s="1" t="s">
        <v>143</v>
      </c>
    </row>
    <row r="238" spans="3:15" ht="17.25" x14ac:dyDescent="0.3">
      <c r="F238" s="3" t="s">
        <v>145</v>
      </c>
      <c r="G238" s="18">
        <f>($G$39*(G225/12))*($G$104/2)</f>
        <v>584.26567679999994</v>
      </c>
    </row>
    <row r="239" spans="3:15" x14ac:dyDescent="0.2">
      <c r="C239" s="1" t="s">
        <v>147</v>
      </c>
      <c r="F239" s="3"/>
      <c r="G239" s="18"/>
    </row>
    <row r="240" spans="3:15" ht="17.25" x14ac:dyDescent="0.3">
      <c r="F240" s="3" t="s">
        <v>119</v>
      </c>
      <c r="G240" s="27">
        <f>(IF($G$138&lt;$G$137,(5*$G$138*$G$105*$G$105)/(48*$G$72*$G$136),(5*$G$137*$G$105*$G$105)/(48*$G$72*$G$136)+(5*($G$138-$G$137)*$G$105*$G$105)/(48*$G$72*G230)))*G233</f>
        <v>1.309033394453092E-2</v>
      </c>
    </row>
    <row r="241" spans="2:15" ht="17.25" x14ac:dyDescent="0.3">
      <c r="F241" s="3" t="s">
        <v>120</v>
      </c>
      <c r="G241" s="27">
        <f>((5*(($G$6*$G$105^2/8)/12)*($G$105^2))/(48*$G$72*$G$136))*G233</f>
        <v>1.1127465544535668E-2</v>
      </c>
    </row>
    <row r="243" spans="2:15" x14ac:dyDescent="0.2">
      <c r="B243" s="1" t="s">
        <v>191</v>
      </c>
    </row>
    <row r="244" spans="2:15" x14ac:dyDescent="0.2">
      <c r="C244" s="1" t="s">
        <v>142</v>
      </c>
    </row>
    <row r="245" spans="2:15" x14ac:dyDescent="0.2">
      <c r="F245" s="3" t="s">
        <v>99</v>
      </c>
      <c r="G245" s="18">
        <f>$G$119</f>
        <v>132.08000000000001</v>
      </c>
    </row>
    <row r="246" spans="2:15" x14ac:dyDescent="0.2">
      <c r="F246" s="3" t="s">
        <v>100</v>
      </c>
      <c r="G246" s="18">
        <f>$G$158</f>
        <v>277.2</v>
      </c>
    </row>
    <row r="247" spans="2:15" x14ac:dyDescent="0.2">
      <c r="F247" s="3" t="s">
        <v>182</v>
      </c>
      <c r="G247" s="23">
        <f>IF(O234="Redesign",O225-8,O225)</f>
        <v>120</v>
      </c>
      <c r="N247" s="3" t="s">
        <v>163</v>
      </c>
      <c r="O247" s="23">
        <f>G247</f>
        <v>120</v>
      </c>
    </row>
    <row r="248" spans="2:15" ht="16.5" x14ac:dyDescent="0.2">
      <c r="F248" s="3" t="s">
        <v>139</v>
      </c>
      <c r="G248" s="19">
        <f>$G$109/(G247/12)</f>
        <v>0.02</v>
      </c>
      <c r="N248" s="3" t="s">
        <v>164</v>
      </c>
      <c r="O248" s="6" t="str">
        <f>IF(G251&lt;=0.333,"OK","Increase Assembly Compressive Strength")</f>
        <v>OK</v>
      </c>
    </row>
    <row r="249" spans="2:15" x14ac:dyDescent="0.2">
      <c r="F249" s="3" t="s">
        <v>138</v>
      </c>
      <c r="G249" s="6">
        <f>IF(G247&gt;6*$G$106,(6*$G$106)/(G247/12),6*$G$106)</f>
        <v>3.6</v>
      </c>
      <c r="N249" s="3" t="s">
        <v>165</v>
      </c>
      <c r="O249" s="31">
        <f>G256/G258</f>
        <v>0.65017750816627862</v>
      </c>
    </row>
    <row r="250" spans="2:15" x14ac:dyDescent="0.2">
      <c r="F250" s="3" t="s">
        <v>25</v>
      </c>
      <c r="G250" s="19">
        <f>IF(G247&gt;6*$G$106,((G248*$G$111)+G246)/(0.64*$G$112*G249),((G248*$G$111)+G246)/(0.64*$G$112*12))</f>
        <v>0.36636904761904765</v>
      </c>
      <c r="N250" s="3" t="s">
        <v>166</v>
      </c>
      <c r="O250" s="31">
        <f>G260/$G$147</f>
        <v>0.33239020787790313</v>
      </c>
    </row>
    <row r="251" spans="2:15" ht="17.25" x14ac:dyDescent="0.3">
      <c r="F251" s="3" t="s">
        <v>140</v>
      </c>
      <c r="G251" s="19">
        <f>G250/$G$110</f>
        <v>0.13026455026455028</v>
      </c>
      <c r="N251" s="3" t="s">
        <v>167</v>
      </c>
      <c r="O251" s="31">
        <f>G262/$G$151</f>
        <v>1.2986442405288611E-2</v>
      </c>
    </row>
    <row r="252" spans="2:15" ht="18" x14ac:dyDescent="0.3">
      <c r="F252" s="3" t="s">
        <v>151</v>
      </c>
      <c r="G252" s="26">
        <f>($G$74*G248*(($G$110-G250)^2))+(($G$74*G245/$G$111)*((($G$107/2)-G250)^2))+(G249*(G250^3)/3)</f>
        <v>2.505008530587284</v>
      </c>
      <c r="N252" s="3" t="s">
        <v>168</v>
      </c>
      <c r="O252" s="31">
        <f>G263/$G$153</f>
        <v>1.8545775907559448E-2</v>
      </c>
    </row>
    <row r="253" spans="2:15" ht="18" x14ac:dyDescent="0.3">
      <c r="F253" s="3" t="s">
        <v>186</v>
      </c>
      <c r="G253" s="26">
        <f>IF(($G$118*0.9)&lt;$G$137,0.75*$G$136,G252)</f>
        <v>100.19999999999999</v>
      </c>
      <c r="N253" s="3" t="s">
        <v>169</v>
      </c>
      <c r="O253" s="16" t="str">
        <f>IF(G247&gt;=24,"OK","Recheck")</f>
        <v>OK</v>
      </c>
    </row>
    <row r="254" spans="2:15" ht="17.25" x14ac:dyDescent="0.3">
      <c r="F254" s="3" t="s">
        <v>146</v>
      </c>
      <c r="G254" s="18">
        <f>((3.1415^2)*($G$72*G253)/($G$105^2))</f>
        <v>75109.941472981751</v>
      </c>
      <c r="N254" s="3"/>
      <c r="O254" s="18"/>
    </row>
    <row r="255" spans="2:15" x14ac:dyDescent="0.2">
      <c r="F255" s="3" t="s">
        <v>148</v>
      </c>
      <c r="G255" s="7">
        <f>1/(1-(G246/G254))</f>
        <v>1.0037042609230089</v>
      </c>
    </row>
    <row r="256" spans="2:15" ht="17.25" x14ac:dyDescent="0.3">
      <c r="F256" s="3" t="s">
        <v>152</v>
      </c>
      <c r="G256" s="18">
        <f>G255*$G$118</f>
        <v>2345.7197972609019</v>
      </c>
      <c r="N256" s="28" t="s">
        <v>181</v>
      </c>
      <c r="O256" s="1" t="str">
        <f>IF(OR(O249&gt;1,O250&gt;1,O251&gt;1,O252&gt;1),"Redesign","OK")</f>
        <v>OK</v>
      </c>
    </row>
    <row r="257" spans="2:15" x14ac:dyDescent="0.2">
      <c r="F257" s="3" t="s">
        <v>24</v>
      </c>
      <c r="G257" s="7">
        <f>((G248*$G$111)+(G245/0.9))/(0.8*$G$112*G249)</f>
        <v>0.26721340388007053</v>
      </c>
    </row>
    <row r="258" spans="2:15" ht="17.25" x14ac:dyDescent="0.3">
      <c r="F258" s="3" t="s">
        <v>153</v>
      </c>
      <c r="G258" s="18">
        <f>((G245/0.9)+(G248*$G$111))*($G$110-(G257/2))</f>
        <v>3607.814431902802</v>
      </c>
    </row>
    <row r="259" spans="2:15" x14ac:dyDescent="0.2">
      <c r="C259" s="1" t="s">
        <v>143</v>
      </c>
    </row>
    <row r="260" spans="2:15" ht="17.25" x14ac:dyDescent="0.3">
      <c r="F260" s="3" t="s">
        <v>145</v>
      </c>
      <c r="G260" s="18">
        <f>($G$39*(G247/12))*($G$104/2)</f>
        <v>584.26567679999994</v>
      </c>
    </row>
    <row r="261" spans="2:15" x14ac:dyDescent="0.2">
      <c r="C261" s="1" t="s">
        <v>147</v>
      </c>
      <c r="F261" s="3"/>
      <c r="G261" s="18"/>
    </row>
    <row r="262" spans="2:15" ht="17.25" x14ac:dyDescent="0.3">
      <c r="F262" s="3" t="s">
        <v>119</v>
      </c>
      <c r="G262" s="27">
        <f>(IF($G$138&lt;$G$137,(5*$G$138*$G$105*$G$105)/(48*$G$72*$G$136),(5*$G$137*$G$105*$G$105)/(48*$G$72*$G$136)+(5*($G$138-$G$137)*$G$105*$G$105)/(48*$G$72*G252)))*G255</f>
        <v>1.309033394453092E-2</v>
      </c>
    </row>
    <row r="263" spans="2:15" ht="17.25" x14ac:dyDescent="0.3">
      <c r="F263" s="3" t="s">
        <v>120</v>
      </c>
      <c r="G263" s="27">
        <f>((5*(($G$6*$G$105^2/8)/12)*($G$105^2))/(48*$G$72*$G$136))*G255</f>
        <v>1.1127465544535668E-2</v>
      </c>
    </row>
    <row r="265" spans="2:15" x14ac:dyDescent="0.2">
      <c r="B265" s="1" t="s">
        <v>192</v>
      </c>
    </row>
    <row r="266" spans="2:15" x14ac:dyDescent="0.2">
      <c r="C266" s="1" t="s">
        <v>142</v>
      </c>
    </row>
    <row r="267" spans="2:15" x14ac:dyDescent="0.2">
      <c r="F267" s="3" t="s">
        <v>99</v>
      </c>
      <c r="G267" s="18">
        <f>$G$119</f>
        <v>132.08000000000001</v>
      </c>
    </row>
    <row r="268" spans="2:15" x14ac:dyDescent="0.2">
      <c r="F268" s="3" t="s">
        <v>100</v>
      </c>
      <c r="G268" s="18">
        <f>$G$158</f>
        <v>277.2</v>
      </c>
    </row>
    <row r="269" spans="2:15" x14ac:dyDescent="0.2">
      <c r="F269" s="3" t="s">
        <v>182</v>
      </c>
      <c r="G269" s="23">
        <f>IF(O256="Redesign",O247-8,O247)</f>
        <v>120</v>
      </c>
      <c r="N269" s="3" t="s">
        <v>163</v>
      </c>
      <c r="O269" s="23">
        <f>G269</f>
        <v>120</v>
      </c>
    </row>
    <row r="270" spans="2:15" ht="16.5" x14ac:dyDescent="0.2">
      <c r="F270" s="3" t="s">
        <v>139</v>
      </c>
      <c r="G270" s="19">
        <f>$G$109/(G269/12)</f>
        <v>0.02</v>
      </c>
      <c r="N270" s="3" t="s">
        <v>164</v>
      </c>
      <c r="O270" s="6" t="str">
        <f>IF(G273&lt;=0.333,"OK","Increase Assembly Compressive Strength")</f>
        <v>OK</v>
      </c>
    </row>
    <row r="271" spans="2:15" x14ac:dyDescent="0.2">
      <c r="F271" s="3" t="s">
        <v>138</v>
      </c>
      <c r="G271" s="6">
        <f>IF(G269&gt;6*$G$106,(6*$G$106)/(G269/12),6*$G$106)</f>
        <v>3.6</v>
      </c>
      <c r="N271" s="3" t="s">
        <v>165</v>
      </c>
      <c r="O271" s="31">
        <f>G278/G280</f>
        <v>0.65017750816627862</v>
      </c>
    </row>
    <row r="272" spans="2:15" x14ac:dyDescent="0.2">
      <c r="F272" s="3" t="s">
        <v>25</v>
      </c>
      <c r="G272" s="19">
        <f>IF(G269&gt;6*$G$106,((G270*$G$111)+G268)/(0.64*$G$112*G271),((G270*$G$111)+G268)/(0.64*$G$112*12))</f>
        <v>0.36636904761904765</v>
      </c>
      <c r="N272" s="3" t="s">
        <v>166</v>
      </c>
      <c r="O272" s="31">
        <f>G282/$G$147</f>
        <v>0.33239020787790313</v>
      </c>
    </row>
    <row r="273" spans="2:15" ht="17.25" x14ac:dyDescent="0.3">
      <c r="F273" s="3" t="s">
        <v>140</v>
      </c>
      <c r="G273" s="19">
        <f>G272/$G$110</f>
        <v>0.13026455026455028</v>
      </c>
      <c r="N273" s="3" t="s">
        <v>167</v>
      </c>
      <c r="O273" s="31">
        <f>G284/$G$151</f>
        <v>1.2986442405288611E-2</v>
      </c>
    </row>
    <row r="274" spans="2:15" ht="18" x14ac:dyDescent="0.3">
      <c r="F274" s="3" t="s">
        <v>151</v>
      </c>
      <c r="G274" s="26">
        <f>($G$74*G270*(($G$110-G272)^2))+(($G$74*G267/$G$111)*((($G$107/2)-G272)^2))+(G271*(G272^3)/3)</f>
        <v>2.505008530587284</v>
      </c>
      <c r="N274" s="3" t="s">
        <v>168</v>
      </c>
      <c r="O274" s="31">
        <f>G285/$G$153</f>
        <v>1.8545775907559448E-2</v>
      </c>
    </row>
    <row r="275" spans="2:15" ht="18" x14ac:dyDescent="0.3">
      <c r="F275" s="3" t="s">
        <v>186</v>
      </c>
      <c r="G275" s="26">
        <f>IF(($G$118*0.9)&lt;$G$137,0.75*$G$136,G274)</f>
        <v>100.19999999999999</v>
      </c>
      <c r="N275" s="3" t="s">
        <v>169</v>
      </c>
      <c r="O275" s="16" t="str">
        <f>IF(G269&gt;=24,"OK","Recheck")</f>
        <v>OK</v>
      </c>
    </row>
    <row r="276" spans="2:15" ht="17.25" x14ac:dyDescent="0.3">
      <c r="F276" s="3" t="s">
        <v>146</v>
      </c>
      <c r="G276" s="18">
        <f>((3.1415^2)*($G$72*G275)/($G$105^2))</f>
        <v>75109.941472981751</v>
      </c>
      <c r="N276" s="3"/>
      <c r="O276" s="18"/>
    </row>
    <row r="277" spans="2:15" x14ac:dyDescent="0.2">
      <c r="F277" s="3" t="s">
        <v>148</v>
      </c>
      <c r="G277" s="7">
        <f>1/(1-(G268/G276))</f>
        <v>1.0037042609230089</v>
      </c>
    </row>
    <row r="278" spans="2:15" ht="17.25" x14ac:dyDescent="0.3">
      <c r="F278" s="3" t="s">
        <v>152</v>
      </c>
      <c r="G278" s="18">
        <f>G277*$G$118</f>
        <v>2345.7197972609019</v>
      </c>
      <c r="N278" s="28" t="s">
        <v>181</v>
      </c>
      <c r="O278" s="1" t="str">
        <f>IF(OR(O271&gt;1,O272&gt;1,O273&gt;1,O274&gt;1),"Redesign","OK")</f>
        <v>OK</v>
      </c>
    </row>
    <row r="279" spans="2:15" x14ac:dyDescent="0.2">
      <c r="F279" s="3" t="s">
        <v>24</v>
      </c>
      <c r="G279" s="7">
        <f>((G270*$G$111)+(G267/0.9))/(0.8*$G$112*G271)</f>
        <v>0.26721340388007053</v>
      </c>
    </row>
    <row r="280" spans="2:15" ht="17.25" x14ac:dyDescent="0.3">
      <c r="F280" s="3" t="s">
        <v>153</v>
      </c>
      <c r="G280" s="18">
        <f>((G267/0.9)+(G270*$G$111))*($G$110-(G279/2))</f>
        <v>3607.814431902802</v>
      </c>
    </row>
    <row r="281" spans="2:15" x14ac:dyDescent="0.2">
      <c r="C281" s="1" t="s">
        <v>143</v>
      </c>
    </row>
    <row r="282" spans="2:15" ht="17.25" x14ac:dyDescent="0.3">
      <c r="F282" s="3" t="s">
        <v>145</v>
      </c>
      <c r="G282" s="18">
        <f>($G$39*(G269/12))*($G$104/2)</f>
        <v>584.26567679999994</v>
      </c>
    </row>
    <row r="283" spans="2:15" x14ac:dyDescent="0.2">
      <c r="C283" s="1" t="s">
        <v>147</v>
      </c>
      <c r="F283" s="3"/>
      <c r="G283" s="18"/>
    </row>
    <row r="284" spans="2:15" ht="17.25" x14ac:dyDescent="0.3">
      <c r="F284" s="3" t="s">
        <v>119</v>
      </c>
      <c r="G284" s="27">
        <f>(IF($G$138&lt;$G$137,(5*$G$138*$G$105*$G$105)/(48*$G$72*$G$136),(5*$G$137*$G$105*$G$105)/(48*$G$72*$G$136)+(5*($G$138-$G$137)*$G$105*$G$105)/(48*$G$72*G274)))*G277</f>
        <v>1.309033394453092E-2</v>
      </c>
    </row>
    <row r="285" spans="2:15" ht="17.25" x14ac:dyDescent="0.3">
      <c r="F285" s="3" t="s">
        <v>120</v>
      </c>
      <c r="G285" s="27">
        <f>((5*(($G$6*$G$105^2/8)/12)*($G$105^2))/(48*$G$72*$G$136))*G277</f>
        <v>1.1127465544535668E-2</v>
      </c>
    </row>
    <row r="287" spans="2:15" x14ac:dyDescent="0.2">
      <c r="B287" s="1" t="s">
        <v>193</v>
      </c>
    </row>
    <row r="288" spans="2:15" x14ac:dyDescent="0.2">
      <c r="C288" s="1" t="s">
        <v>142</v>
      </c>
    </row>
    <row r="289" spans="3:15" x14ac:dyDescent="0.2">
      <c r="F289" s="3" t="s">
        <v>99</v>
      </c>
      <c r="G289" s="18">
        <f>$G$119</f>
        <v>132.08000000000001</v>
      </c>
    </row>
    <row r="290" spans="3:15" x14ac:dyDescent="0.2">
      <c r="F290" s="3" t="s">
        <v>100</v>
      </c>
      <c r="G290" s="18">
        <f>$G$158</f>
        <v>277.2</v>
      </c>
    </row>
    <row r="291" spans="3:15" x14ac:dyDescent="0.2">
      <c r="F291" s="3" t="s">
        <v>182</v>
      </c>
      <c r="G291" s="23">
        <f>IF(O278="Redesign",O269-8,O269)</f>
        <v>120</v>
      </c>
      <c r="N291" s="3" t="s">
        <v>163</v>
      </c>
      <c r="O291" s="23">
        <f>G291</f>
        <v>120</v>
      </c>
    </row>
    <row r="292" spans="3:15" ht="16.5" x14ac:dyDescent="0.2">
      <c r="F292" s="3" t="s">
        <v>139</v>
      </c>
      <c r="G292" s="19">
        <f>$G$109/(G291/12)</f>
        <v>0.02</v>
      </c>
      <c r="N292" s="3" t="s">
        <v>164</v>
      </c>
      <c r="O292" s="6" t="str">
        <f>IF(G295&lt;=0.333,"OK","Increase Assembly Compressive Strength")</f>
        <v>OK</v>
      </c>
    </row>
    <row r="293" spans="3:15" x14ac:dyDescent="0.2">
      <c r="F293" s="3" t="s">
        <v>138</v>
      </c>
      <c r="G293" s="6">
        <f>IF(G291&gt;6*$G$106,(6*$G$106)/(G291/12),6*$G$106)</f>
        <v>3.6</v>
      </c>
      <c r="N293" s="3" t="s">
        <v>165</v>
      </c>
      <c r="O293" s="31">
        <f>G300/G302</f>
        <v>0.65017750816627862</v>
      </c>
    </row>
    <row r="294" spans="3:15" x14ac:dyDescent="0.2">
      <c r="F294" s="3" t="s">
        <v>25</v>
      </c>
      <c r="G294" s="19">
        <f>IF(G291&gt;6*$G$106,((G292*$G$111)+G290)/(0.64*$G$112*G293),((G292*$G$111)+G290)/(0.64*$G$112*12))</f>
        <v>0.36636904761904765</v>
      </c>
      <c r="N294" s="3" t="s">
        <v>166</v>
      </c>
      <c r="O294" s="31">
        <f>G304/$G$147</f>
        <v>0.33239020787790313</v>
      </c>
    </row>
    <row r="295" spans="3:15" ht="17.25" x14ac:dyDescent="0.3">
      <c r="F295" s="3" t="s">
        <v>140</v>
      </c>
      <c r="G295" s="19">
        <f>G294/$G$110</f>
        <v>0.13026455026455028</v>
      </c>
      <c r="N295" s="3" t="s">
        <v>167</v>
      </c>
      <c r="O295" s="31">
        <f>G306/$G$151</f>
        <v>1.2986442405288611E-2</v>
      </c>
    </row>
    <row r="296" spans="3:15" ht="18" x14ac:dyDescent="0.3">
      <c r="F296" s="3" t="s">
        <v>151</v>
      </c>
      <c r="G296" s="26">
        <f>($G$74*G292*(($G$110-G294)^2))+(($G$74*G289/$G$111)*((($G$107/2)-G294)^2))+(G293*(G294^3)/3)</f>
        <v>2.505008530587284</v>
      </c>
      <c r="N296" s="3" t="s">
        <v>168</v>
      </c>
      <c r="O296" s="31">
        <f>G307/$G$153</f>
        <v>1.8545775907559448E-2</v>
      </c>
    </row>
    <row r="297" spans="3:15" ht="18" x14ac:dyDescent="0.3">
      <c r="F297" s="3" t="s">
        <v>186</v>
      </c>
      <c r="G297" s="26">
        <f>IF(($G$118*0.9)&lt;$G$137,0.75*$G$136,G296)</f>
        <v>100.19999999999999</v>
      </c>
      <c r="N297" s="3" t="s">
        <v>169</v>
      </c>
      <c r="O297" s="16" t="str">
        <f>IF(G291&gt;=24,"OK","Recheck")</f>
        <v>OK</v>
      </c>
    </row>
    <row r="298" spans="3:15" ht="17.25" x14ac:dyDescent="0.3">
      <c r="F298" s="3" t="s">
        <v>146</v>
      </c>
      <c r="G298" s="18">
        <f>((3.1415^2)*($G$72*G297)/($G$105^2))</f>
        <v>75109.941472981751</v>
      </c>
      <c r="N298" s="3"/>
      <c r="O298" s="18"/>
    </row>
    <row r="299" spans="3:15" x14ac:dyDescent="0.2">
      <c r="F299" s="3" t="s">
        <v>148</v>
      </c>
      <c r="G299" s="7">
        <f>1/(1-(G290/G298))</f>
        <v>1.0037042609230089</v>
      </c>
    </row>
    <row r="300" spans="3:15" ht="17.25" x14ac:dyDescent="0.3">
      <c r="F300" s="3" t="s">
        <v>152</v>
      </c>
      <c r="G300" s="18">
        <f>G299*$G$118</f>
        <v>2345.7197972609019</v>
      </c>
      <c r="N300" s="28" t="s">
        <v>181</v>
      </c>
      <c r="O300" s="1" t="str">
        <f>IF(OR(O293&gt;1,O294&gt;1,O295&gt;1,O296&gt;1),"Redesign","OK")</f>
        <v>OK</v>
      </c>
    </row>
    <row r="301" spans="3:15" x14ac:dyDescent="0.2">
      <c r="F301" s="3" t="s">
        <v>24</v>
      </c>
      <c r="G301" s="7">
        <f>((G292*$G$111)+(G289/0.9))/(0.8*$G$112*G293)</f>
        <v>0.26721340388007053</v>
      </c>
    </row>
    <row r="302" spans="3:15" ht="17.25" x14ac:dyDescent="0.3">
      <c r="F302" s="3" t="s">
        <v>153</v>
      </c>
      <c r="G302" s="18">
        <f>((G289/0.9)+(G292*$G$111))*($G$110-(G301/2))</f>
        <v>3607.814431902802</v>
      </c>
    </row>
    <row r="303" spans="3:15" x14ac:dyDescent="0.2">
      <c r="C303" s="1" t="s">
        <v>143</v>
      </c>
    </row>
    <row r="304" spans="3:15" ht="17.25" x14ac:dyDescent="0.3">
      <c r="F304" s="3" t="s">
        <v>145</v>
      </c>
      <c r="G304" s="18">
        <f>($G$39*(G291/12))*($G$104/2)</f>
        <v>584.26567679999994</v>
      </c>
    </row>
    <row r="305" spans="2:15" x14ac:dyDescent="0.2">
      <c r="C305" s="1" t="s">
        <v>147</v>
      </c>
      <c r="F305" s="3"/>
      <c r="G305" s="18"/>
    </row>
    <row r="306" spans="2:15" ht="17.25" x14ac:dyDescent="0.3">
      <c r="F306" s="3" t="s">
        <v>119</v>
      </c>
      <c r="G306" s="27">
        <f>(IF($G$138&lt;$G$137,(5*$G$138*$G$105*$G$105)/(48*$G$72*$G$136),(5*$G$137*$G$105*$G$105)/(48*$G$72*$G$136)+(5*($G$138-$G$137)*$G$105*$G$105)/(48*$G$72*G296)))*G299</f>
        <v>1.309033394453092E-2</v>
      </c>
    </row>
    <row r="307" spans="2:15" ht="17.25" x14ac:dyDescent="0.3">
      <c r="F307" s="3" t="s">
        <v>120</v>
      </c>
      <c r="G307" s="27">
        <f>((5*(($G$6*$G$105^2/8)/12)*($G$105^2))/(48*$G$72*$G$136))*G299</f>
        <v>1.1127465544535668E-2</v>
      </c>
    </row>
    <row r="309" spans="2:15" x14ac:dyDescent="0.2">
      <c r="B309" s="1" t="s">
        <v>194</v>
      </c>
    </row>
    <row r="310" spans="2:15" x14ac:dyDescent="0.2">
      <c r="C310" s="1" t="s">
        <v>142</v>
      </c>
    </row>
    <row r="311" spans="2:15" x14ac:dyDescent="0.2">
      <c r="F311" s="3" t="s">
        <v>99</v>
      </c>
      <c r="G311" s="18">
        <f>$G$119</f>
        <v>132.08000000000001</v>
      </c>
    </row>
    <row r="312" spans="2:15" x14ac:dyDescent="0.2">
      <c r="F312" s="3" t="s">
        <v>100</v>
      </c>
      <c r="G312" s="18">
        <f>$G$158</f>
        <v>277.2</v>
      </c>
    </row>
    <row r="313" spans="2:15" x14ac:dyDescent="0.2">
      <c r="F313" s="3" t="s">
        <v>182</v>
      </c>
      <c r="G313" s="23">
        <f>IF(O300="Redesign",O291-8,O291)</f>
        <v>120</v>
      </c>
      <c r="N313" s="3" t="s">
        <v>163</v>
      </c>
      <c r="O313" s="23">
        <f>G313</f>
        <v>120</v>
      </c>
    </row>
    <row r="314" spans="2:15" ht="16.5" x14ac:dyDescent="0.2">
      <c r="F314" s="3" t="s">
        <v>139</v>
      </c>
      <c r="G314" s="19">
        <f>$G$109/(G313/12)</f>
        <v>0.02</v>
      </c>
      <c r="N314" s="3" t="s">
        <v>164</v>
      </c>
      <c r="O314" s="6" t="str">
        <f>IF(G317&lt;=0.333,"OK","Increase Assembly Compressive Strength")</f>
        <v>OK</v>
      </c>
    </row>
    <row r="315" spans="2:15" x14ac:dyDescent="0.2">
      <c r="F315" s="3" t="s">
        <v>138</v>
      </c>
      <c r="G315" s="6">
        <f>IF(G313&gt;6*$G$106,(6*$G$106)/(G313/12),6*$G$106)</f>
        <v>3.6</v>
      </c>
      <c r="N315" s="3" t="s">
        <v>165</v>
      </c>
      <c r="O315" s="31">
        <f>G322/G324</f>
        <v>0.65017750816627862</v>
      </c>
    </row>
    <row r="316" spans="2:15" x14ac:dyDescent="0.2">
      <c r="F316" s="3" t="s">
        <v>25</v>
      </c>
      <c r="G316" s="19">
        <f>IF(G313&gt;6*$G$106,((G314*$G$111)+G312)/(0.64*$G$112*G315),((G314*$G$111)+G312)/(0.64*$G$112*12))</f>
        <v>0.36636904761904765</v>
      </c>
      <c r="N316" s="3" t="s">
        <v>166</v>
      </c>
      <c r="O316" s="31">
        <f>G326/$G$147</f>
        <v>0.33239020787790313</v>
      </c>
    </row>
    <row r="317" spans="2:15" ht="17.25" x14ac:dyDescent="0.3">
      <c r="F317" s="3" t="s">
        <v>140</v>
      </c>
      <c r="G317" s="19">
        <f>G316/$G$110</f>
        <v>0.13026455026455028</v>
      </c>
      <c r="N317" s="3" t="s">
        <v>167</v>
      </c>
      <c r="O317" s="31">
        <f>G328/$G$151</f>
        <v>1.2986442405288611E-2</v>
      </c>
    </row>
    <row r="318" spans="2:15" ht="18" x14ac:dyDescent="0.3">
      <c r="F318" s="3" t="s">
        <v>151</v>
      </c>
      <c r="G318" s="26">
        <f>($G$74*G314*(($G$110-G316)^2))+(($G$74*G311/$G$111)*((($G$107/2)-G316)^2))+(G315*(G316^3)/3)</f>
        <v>2.505008530587284</v>
      </c>
      <c r="N318" s="3" t="s">
        <v>168</v>
      </c>
      <c r="O318" s="31">
        <f>G329/$G$153</f>
        <v>1.8545775907559448E-2</v>
      </c>
    </row>
    <row r="319" spans="2:15" ht="18" x14ac:dyDescent="0.3">
      <c r="F319" s="3" t="s">
        <v>186</v>
      </c>
      <c r="G319" s="26">
        <f>IF(($G$118*0.9)&lt;$G$137,0.75*$G$136,G318)</f>
        <v>100.19999999999999</v>
      </c>
      <c r="N319" s="3" t="s">
        <v>169</v>
      </c>
      <c r="O319" s="16" t="str">
        <f>IF(G313&gt;=24,"OK","Recheck")</f>
        <v>OK</v>
      </c>
    </row>
    <row r="320" spans="2:15" ht="17.25" x14ac:dyDescent="0.3">
      <c r="F320" s="3" t="s">
        <v>146</v>
      </c>
      <c r="G320" s="18">
        <f>((3.1415^2)*($G$72*G319)/($G$105^2))</f>
        <v>75109.941472981751</v>
      </c>
      <c r="N320" s="3"/>
      <c r="O320" s="18"/>
    </row>
    <row r="321" spans="2:15" x14ac:dyDescent="0.2">
      <c r="F321" s="3" t="s">
        <v>148</v>
      </c>
      <c r="G321" s="7">
        <f>1/(1-(G312/G320))</f>
        <v>1.0037042609230089</v>
      </c>
    </row>
    <row r="322" spans="2:15" ht="17.25" x14ac:dyDescent="0.3">
      <c r="F322" s="3" t="s">
        <v>152</v>
      </c>
      <c r="G322" s="18">
        <f>G321*$G$118</f>
        <v>2345.7197972609019</v>
      </c>
      <c r="N322" s="28" t="s">
        <v>181</v>
      </c>
      <c r="O322" s="1" t="str">
        <f>IF(OR(O315&gt;1,O316&gt;1,O317&gt;1,O318&gt;1),"Redesign","OK")</f>
        <v>OK</v>
      </c>
    </row>
    <row r="323" spans="2:15" x14ac:dyDescent="0.2">
      <c r="F323" s="3" t="s">
        <v>24</v>
      </c>
      <c r="G323" s="7">
        <f>((G314*$G$111)+(G311/0.9))/(0.8*$G$112*G315)</f>
        <v>0.26721340388007053</v>
      </c>
    </row>
    <row r="324" spans="2:15" ht="17.25" x14ac:dyDescent="0.3">
      <c r="F324" s="3" t="s">
        <v>153</v>
      </c>
      <c r="G324" s="18">
        <f>((G311/0.9)+(G314*$G$111))*($G$110-(G323/2))</f>
        <v>3607.814431902802</v>
      </c>
    </row>
    <row r="325" spans="2:15" x14ac:dyDescent="0.2">
      <c r="C325" s="1" t="s">
        <v>143</v>
      </c>
    </row>
    <row r="326" spans="2:15" ht="17.25" x14ac:dyDescent="0.3">
      <c r="F326" s="3" t="s">
        <v>145</v>
      </c>
      <c r="G326" s="18">
        <f>($G$39*(G313/12))*($G$104/2)</f>
        <v>584.26567679999994</v>
      </c>
    </row>
    <row r="327" spans="2:15" x14ac:dyDescent="0.2">
      <c r="C327" s="1" t="s">
        <v>147</v>
      </c>
      <c r="F327" s="3"/>
      <c r="G327" s="18"/>
    </row>
    <row r="328" spans="2:15" ht="17.25" x14ac:dyDescent="0.3">
      <c r="F328" s="3" t="s">
        <v>119</v>
      </c>
      <c r="G328" s="27">
        <f>(IF($G$138&lt;$G$137,(5*$G$138*$G$105*$G$105)/(48*$G$72*$G$136),(5*$G$137*$G$105*$G$105)/(48*$G$72*$G$136)+(5*($G$138-$G$137)*$G$105*$G$105)/(48*$G$72*G318)))*G321</f>
        <v>1.309033394453092E-2</v>
      </c>
    </row>
    <row r="329" spans="2:15" ht="17.25" x14ac:dyDescent="0.3">
      <c r="F329" s="3" t="s">
        <v>120</v>
      </c>
      <c r="G329" s="27">
        <f>((5*(($G$6*$G$105^2/8)/12)*($G$105^2))/(48*$G$72*$G$136))*G321</f>
        <v>1.1127465544535668E-2</v>
      </c>
    </row>
    <row r="331" spans="2:15" x14ac:dyDescent="0.2">
      <c r="B331" s="1" t="s">
        <v>195</v>
      </c>
    </row>
    <row r="332" spans="2:15" x14ac:dyDescent="0.2">
      <c r="C332" s="1" t="s">
        <v>142</v>
      </c>
    </row>
    <row r="333" spans="2:15" x14ac:dyDescent="0.2">
      <c r="F333" s="3" t="s">
        <v>99</v>
      </c>
      <c r="G333" s="18">
        <f>$G$119</f>
        <v>132.08000000000001</v>
      </c>
    </row>
    <row r="334" spans="2:15" x14ac:dyDescent="0.2">
      <c r="F334" s="3" t="s">
        <v>100</v>
      </c>
      <c r="G334" s="18">
        <f>$G$158</f>
        <v>277.2</v>
      </c>
    </row>
    <row r="335" spans="2:15" x14ac:dyDescent="0.2">
      <c r="F335" s="3" t="s">
        <v>182</v>
      </c>
      <c r="G335" s="23">
        <f>IF(O322="Redesign",O313-8,O313)</f>
        <v>120</v>
      </c>
      <c r="N335" s="3" t="s">
        <v>163</v>
      </c>
      <c r="O335" s="23">
        <f>G335</f>
        <v>120</v>
      </c>
    </row>
    <row r="336" spans="2:15" ht="16.5" x14ac:dyDescent="0.2">
      <c r="F336" s="3" t="s">
        <v>139</v>
      </c>
      <c r="G336" s="19">
        <f>$G$109/(G335/12)</f>
        <v>0.02</v>
      </c>
      <c r="N336" s="3" t="s">
        <v>164</v>
      </c>
      <c r="O336" s="6" t="str">
        <f>IF(G339&lt;=0.333,"OK","Increase Assembly Compressive Strength")</f>
        <v>OK</v>
      </c>
    </row>
    <row r="337" spans="3:15" x14ac:dyDescent="0.2">
      <c r="F337" s="3" t="s">
        <v>138</v>
      </c>
      <c r="G337" s="6">
        <f>IF(G335&gt;6*$G$106,(6*$G$106)/(G335/12),6*$G$106)</f>
        <v>3.6</v>
      </c>
      <c r="N337" s="3" t="s">
        <v>165</v>
      </c>
      <c r="O337" s="31">
        <f>G344/G346</f>
        <v>0.65017750816627862</v>
      </c>
    </row>
    <row r="338" spans="3:15" x14ac:dyDescent="0.2">
      <c r="F338" s="3" t="s">
        <v>25</v>
      </c>
      <c r="G338" s="19">
        <f>IF(G335&gt;6*$G$106,((G336*$G$111)+G334)/(0.64*$G$112*G337),((G336*$G$111)+G334)/(0.64*$G$112*12))</f>
        <v>0.36636904761904765</v>
      </c>
      <c r="N338" s="3" t="s">
        <v>166</v>
      </c>
      <c r="O338" s="31">
        <f>G348/$G$147</f>
        <v>0.33239020787790313</v>
      </c>
    </row>
    <row r="339" spans="3:15" ht="17.25" x14ac:dyDescent="0.3">
      <c r="F339" s="3" t="s">
        <v>140</v>
      </c>
      <c r="G339" s="19">
        <f>G338/$G$110</f>
        <v>0.13026455026455028</v>
      </c>
      <c r="N339" s="3" t="s">
        <v>167</v>
      </c>
      <c r="O339" s="31">
        <f>G350/$G$151</f>
        <v>1.2986442405288611E-2</v>
      </c>
    </row>
    <row r="340" spans="3:15" ht="18" x14ac:dyDescent="0.3">
      <c r="F340" s="3" t="s">
        <v>151</v>
      </c>
      <c r="G340" s="26">
        <f>($G$74*G336*(($G$110-G338)^2))+(($G$74*G333/$G$111)*((($G$107/2)-G338)^2))+(G337*(G338^3)/3)</f>
        <v>2.505008530587284</v>
      </c>
      <c r="N340" s="3" t="s">
        <v>168</v>
      </c>
      <c r="O340" s="31">
        <f>G351/$G$153</f>
        <v>1.8545775907559448E-2</v>
      </c>
    </row>
    <row r="341" spans="3:15" ht="18" x14ac:dyDescent="0.3">
      <c r="F341" s="3" t="s">
        <v>186</v>
      </c>
      <c r="G341" s="26">
        <f>IF(($G$118*0.9)&lt;$G$137,0.75*$G$136,G340)</f>
        <v>100.19999999999999</v>
      </c>
      <c r="N341" s="3" t="s">
        <v>169</v>
      </c>
      <c r="O341" s="16" t="str">
        <f>IF(G335&gt;=24,"OK","Recheck")</f>
        <v>OK</v>
      </c>
    </row>
    <row r="342" spans="3:15" ht="17.25" x14ac:dyDescent="0.3">
      <c r="F342" s="3" t="s">
        <v>146</v>
      </c>
      <c r="G342" s="18">
        <f>((3.1415^2)*($G$72*G341)/($G$105^2))</f>
        <v>75109.941472981751</v>
      </c>
      <c r="N342" s="3"/>
      <c r="O342" s="18"/>
    </row>
    <row r="343" spans="3:15" x14ac:dyDescent="0.2">
      <c r="F343" s="3" t="s">
        <v>148</v>
      </c>
      <c r="G343" s="7">
        <f>1/(1-(G334/G342))</f>
        <v>1.0037042609230089</v>
      </c>
    </row>
    <row r="344" spans="3:15" ht="17.25" x14ac:dyDescent="0.3">
      <c r="F344" s="3" t="s">
        <v>152</v>
      </c>
      <c r="G344" s="18">
        <f>G343*$G$118</f>
        <v>2345.7197972609019</v>
      </c>
      <c r="N344" s="28" t="s">
        <v>181</v>
      </c>
      <c r="O344" s="1" t="str">
        <f>IF(OR(O337&gt;1,O338&gt;1,O339&gt;1,O340&gt;1),"Redesign","OK")</f>
        <v>OK</v>
      </c>
    </row>
    <row r="345" spans="3:15" x14ac:dyDescent="0.2">
      <c r="F345" s="3" t="s">
        <v>24</v>
      </c>
      <c r="G345" s="7">
        <f>((G336*$G$111)+(G333/0.9))/(0.8*$G$112*G337)</f>
        <v>0.26721340388007053</v>
      </c>
    </row>
    <row r="346" spans="3:15" ht="17.25" x14ac:dyDescent="0.3">
      <c r="F346" s="3" t="s">
        <v>153</v>
      </c>
      <c r="G346" s="18">
        <f>((G333/0.9)+(G336*$G$111))*($G$110-(G345/2))</f>
        <v>3607.814431902802</v>
      </c>
    </row>
    <row r="347" spans="3:15" x14ac:dyDescent="0.2">
      <c r="C347" s="1" t="s">
        <v>143</v>
      </c>
    </row>
    <row r="348" spans="3:15" ht="17.25" x14ac:dyDescent="0.3">
      <c r="F348" s="3" t="s">
        <v>145</v>
      </c>
      <c r="G348" s="18">
        <f>($G$39*(G335/12))*($G$104/2)</f>
        <v>584.26567679999994</v>
      </c>
    </row>
    <row r="349" spans="3:15" x14ac:dyDescent="0.2">
      <c r="C349" s="1" t="s">
        <v>147</v>
      </c>
      <c r="F349" s="3"/>
      <c r="G349" s="18"/>
    </row>
    <row r="350" spans="3:15" ht="17.25" x14ac:dyDescent="0.3">
      <c r="F350" s="3" t="s">
        <v>119</v>
      </c>
      <c r="G350" s="27">
        <f>(IF($G$138&lt;$G$137,(5*$G$138*$G$105*$G$105)/(48*$G$72*$G$136),(5*$G$137*$G$105*$G$105)/(48*$G$72*$G$136)+(5*($G$138-$G$137)*$G$105*$G$105)/(48*$G$72*G340)))*G343</f>
        <v>1.309033394453092E-2</v>
      </c>
    </row>
    <row r="351" spans="3:15" ht="17.25" x14ac:dyDescent="0.3">
      <c r="F351" s="3" t="s">
        <v>120</v>
      </c>
      <c r="G351" s="27">
        <f>((5*(($G$6*$G$105^2/8)/12)*($G$105^2))/(48*$G$72*$G$136))*G343</f>
        <v>1.1127465544535668E-2</v>
      </c>
    </row>
    <row r="353" spans="2:15" x14ac:dyDescent="0.2">
      <c r="B353" s="1" t="s">
        <v>196</v>
      </c>
    </row>
    <row r="354" spans="2:15" x14ac:dyDescent="0.2">
      <c r="C354" s="1" t="s">
        <v>142</v>
      </c>
    </row>
    <row r="355" spans="2:15" x14ac:dyDescent="0.2">
      <c r="F355" s="3" t="s">
        <v>99</v>
      </c>
      <c r="G355" s="18">
        <f>$G$119</f>
        <v>132.08000000000001</v>
      </c>
    </row>
    <row r="356" spans="2:15" x14ac:dyDescent="0.2">
      <c r="F356" s="3" t="s">
        <v>100</v>
      </c>
      <c r="G356" s="18">
        <f>$G$158</f>
        <v>277.2</v>
      </c>
    </row>
    <row r="357" spans="2:15" x14ac:dyDescent="0.2">
      <c r="F357" s="3" t="s">
        <v>182</v>
      </c>
      <c r="G357" s="23">
        <f>IF(O344="Redesign",O335-8,O335)</f>
        <v>120</v>
      </c>
      <c r="N357" s="3" t="s">
        <v>163</v>
      </c>
      <c r="O357" s="23">
        <f>G357</f>
        <v>120</v>
      </c>
    </row>
    <row r="358" spans="2:15" ht="16.5" x14ac:dyDescent="0.2">
      <c r="F358" s="3" t="s">
        <v>139</v>
      </c>
      <c r="G358" s="19">
        <f>$G$109/(G357/12)</f>
        <v>0.02</v>
      </c>
      <c r="N358" s="3" t="s">
        <v>164</v>
      </c>
      <c r="O358" s="6" t="str">
        <f>IF(G361&lt;=0.333,"OK","Increase Assembly Compressive Strength")</f>
        <v>OK</v>
      </c>
    </row>
    <row r="359" spans="2:15" x14ac:dyDescent="0.2">
      <c r="F359" s="3" t="s">
        <v>138</v>
      </c>
      <c r="G359" s="6">
        <f>IF(G357&gt;6*$G$106,(6*$G$106)/(G357/12),6*$G$106)</f>
        <v>3.6</v>
      </c>
      <c r="N359" s="3" t="s">
        <v>165</v>
      </c>
      <c r="O359" s="31">
        <f>G366/G368</f>
        <v>0.65017750816627862</v>
      </c>
    </row>
    <row r="360" spans="2:15" x14ac:dyDescent="0.2">
      <c r="F360" s="3" t="s">
        <v>25</v>
      </c>
      <c r="G360" s="19">
        <f>IF(G357&gt;6*$G$106,((G358*$G$111)+G356)/(0.64*$G$112*G359),((G358*$G$111)+G356)/(0.64*$G$112*12))</f>
        <v>0.36636904761904765</v>
      </c>
      <c r="N360" s="3" t="s">
        <v>166</v>
      </c>
      <c r="O360" s="31">
        <f>G370/$G$147</f>
        <v>0.33239020787790313</v>
      </c>
    </row>
    <row r="361" spans="2:15" ht="17.25" x14ac:dyDescent="0.3">
      <c r="F361" s="3" t="s">
        <v>140</v>
      </c>
      <c r="G361" s="19">
        <f>G360/$G$110</f>
        <v>0.13026455026455028</v>
      </c>
      <c r="N361" s="3" t="s">
        <v>167</v>
      </c>
      <c r="O361" s="31">
        <f>G372/$G$151</f>
        <v>1.2986442405288611E-2</v>
      </c>
    </row>
    <row r="362" spans="2:15" ht="18" x14ac:dyDescent="0.3">
      <c r="F362" s="3" t="s">
        <v>151</v>
      </c>
      <c r="G362" s="26">
        <f>($G$74*G358*(($G$110-G360)^2))+(($G$74*G355/$G$111)*((($G$107/2)-G360)^2))+(G359*(G360^3)/3)</f>
        <v>2.505008530587284</v>
      </c>
      <c r="N362" s="3" t="s">
        <v>168</v>
      </c>
      <c r="O362" s="31">
        <f>G373/$G$153</f>
        <v>1.8545775907559448E-2</v>
      </c>
    </row>
    <row r="363" spans="2:15" ht="18" x14ac:dyDescent="0.3">
      <c r="F363" s="3" t="s">
        <v>186</v>
      </c>
      <c r="G363" s="26">
        <f>IF(($G$118*0.9)&lt;$G$137,0.75*$G$136,G362)</f>
        <v>100.19999999999999</v>
      </c>
      <c r="N363" s="3" t="s">
        <v>169</v>
      </c>
      <c r="O363" s="16" t="str">
        <f>IF(G357&gt;=24,"OK","Recheck")</f>
        <v>OK</v>
      </c>
    </row>
    <row r="364" spans="2:15" ht="17.25" x14ac:dyDescent="0.3">
      <c r="F364" s="3" t="s">
        <v>146</v>
      </c>
      <c r="G364" s="18">
        <f>((3.1415^2)*($G$72*G363)/($G$105^2))</f>
        <v>75109.941472981751</v>
      </c>
      <c r="N364" s="3"/>
      <c r="O364" s="18"/>
    </row>
    <row r="365" spans="2:15" x14ac:dyDescent="0.2">
      <c r="F365" s="3" t="s">
        <v>148</v>
      </c>
      <c r="G365" s="7">
        <f>1/(1-(G356/G364))</f>
        <v>1.0037042609230089</v>
      </c>
    </row>
    <row r="366" spans="2:15" ht="17.25" x14ac:dyDescent="0.3">
      <c r="F366" s="3" t="s">
        <v>152</v>
      </c>
      <c r="G366" s="18">
        <f>G365*$G$118</f>
        <v>2345.7197972609019</v>
      </c>
      <c r="N366" s="28" t="s">
        <v>181</v>
      </c>
      <c r="O366" s="1" t="str">
        <f>IF(OR(O359&gt;1,O360&gt;1,O361&gt;1,O362&gt;1),"Redesign","OK")</f>
        <v>OK</v>
      </c>
    </row>
    <row r="367" spans="2:15" x14ac:dyDescent="0.2">
      <c r="F367" s="3" t="s">
        <v>24</v>
      </c>
      <c r="G367" s="7">
        <f>((G358*$G$111)+(G355/0.9))/(0.8*$G$112*G359)</f>
        <v>0.26721340388007053</v>
      </c>
    </row>
    <row r="368" spans="2:15" ht="17.25" x14ac:dyDescent="0.3">
      <c r="F368" s="3" t="s">
        <v>153</v>
      </c>
      <c r="G368" s="18">
        <f>((G355/0.9)+(G358*$G$111))*($G$110-(G367/2))</f>
        <v>3607.814431902802</v>
      </c>
    </row>
    <row r="369" spans="2:15" x14ac:dyDescent="0.2">
      <c r="C369" s="1" t="s">
        <v>143</v>
      </c>
    </row>
    <row r="370" spans="2:15" ht="17.25" x14ac:dyDescent="0.3">
      <c r="F370" s="3" t="s">
        <v>145</v>
      </c>
      <c r="G370" s="18">
        <f>($G$39*(G357/12))*($G$104/2)</f>
        <v>584.26567679999994</v>
      </c>
    </row>
    <row r="371" spans="2:15" x14ac:dyDescent="0.2">
      <c r="C371" s="1" t="s">
        <v>147</v>
      </c>
      <c r="F371" s="3"/>
      <c r="G371" s="18"/>
    </row>
    <row r="372" spans="2:15" ht="17.25" x14ac:dyDescent="0.3">
      <c r="F372" s="3" t="s">
        <v>119</v>
      </c>
      <c r="G372" s="27">
        <f>(IF($G$138&lt;$G$137,(5*$G$138*$G$105*$G$105)/(48*$G$72*$G$136),(5*$G$137*$G$105*$G$105)/(48*$G$72*$G$136)+(5*($G$138-$G$137)*$G$105*$G$105)/(48*$G$72*G362)))*G365</f>
        <v>1.309033394453092E-2</v>
      </c>
    </row>
    <row r="373" spans="2:15" ht="17.25" x14ac:dyDescent="0.3">
      <c r="F373" s="3" t="s">
        <v>120</v>
      </c>
      <c r="G373" s="27">
        <f>((5*(($G$6*$G$105^2/8)/12)*($G$105^2))/(48*$G$72*$G$136))*G365</f>
        <v>1.1127465544535668E-2</v>
      </c>
    </row>
    <row r="375" spans="2:15" x14ac:dyDescent="0.2">
      <c r="B375" s="1" t="s">
        <v>197</v>
      </c>
    </row>
    <row r="376" spans="2:15" x14ac:dyDescent="0.2">
      <c r="C376" s="1" t="s">
        <v>142</v>
      </c>
    </row>
    <row r="377" spans="2:15" x14ac:dyDescent="0.2">
      <c r="F377" s="3" t="s">
        <v>99</v>
      </c>
      <c r="G377" s="18">
        <f>$G$119</f>
        <v>132.08000000000001</v>
      </c>
    </row>
    <row r="378" spans="2:15" x14ac:dyDescent="0.2">
      <c r="F378" s="3" t="s">
        <v>100</v>
      </c>
      <c r="G378" s="18">
        <f>$G$158</f>
        <v>277.2</v>
      </c>
    </row>
    <row r="379" spans="2:15" x14ac:dyDescent="0.2">
      <c r="F379" s="3" t="s">
        <v>182</v>
      </c>
      <c r="G379" s="23">
        <f>IF(O366="Redesign",O357-8,O357)</f>
        <v>120</v>
      </c>
      <c r="N379" s="3" t="s">
        <v>163</v>
      </c>
      <c r="O379" s="23">
        <f>G379</f>
        <v>120</v>
      </c>
    </row>
    <row r="380" spans="2:15" ht="16.5" x14ac:dyDescent="0.2">
      <c r="F380" s="3" t="s">
        <v>139</v>
      </c>
      <c r="G380" s="19">
        <f>$G$109/(G379/12)</f>
        <v>0.02</v>
      </c>
      <c r="N380" s="3" t="s">
        <v>164</v>
      </c>
      <c r="O380" s="6" t="str">
        <f>IF(G383&lt;=0.333,"OK","Increase Assembly Compressive Strength")</f>
        <v>OK</v>
      </c>
    </row>
    <row r="381" spans="2:15" x14ac:dyDescent="0.2">
      <c r="F381" s="3" t="s">
        <v>138</v>
      </c>
      <c r="G381" s="6">
        <f>IF(G379&gt;6*$G$106,(6*$G$106)/(G379/12),6*$G$106)</f>
        <v>3.6</v>
      </c>
      <c r="N381" s="3" t="s">
        <v>165</v>
      </c>
      <c r="O381" s="31">
        <f>G388/G390</f>
        <v>0.65017750816627862</v>
      </c>
    </row>
    <row r="382" spans="2:15" x14ac:dyDescent="0.2">
      <c r="F382" s="3" t="s">
        <v>25</v>
      </c>
      <c r="G382" s="19">
        <f>IF(G379&gt;6*$G$106,((G380*$G$111)+G378)/(0.64*$G$112*G381),((G380*$G$111)+G378)/(0.64*$G$112*12))</f>
        <v>0.36636904761904765</v>
      </c>
      <c r="N382" s="3" t="s">
        <v>166</v>
      </c>
      <c r="O382" s="31">
        <f>G392/$G$147</f>
        <v>0.33239020787790313</v>
      </c>
    </row>
    <row r="383" spans="2:15" ht="17.25" x14ac:dyDescent="0.3">
      <c r="F383" s="3" t="s">
        <v>140</v>
      </c>
      <c r="G383" s="19">
        <f>G382/$G$110</f>
        <v>0.13026455026455028</v>
      </c>
      <c r="N383" s="3" t="s">
        <v>167</v>
      </c>
      <c r="O383" s="31">
        <f>G394/$G$151</f>
        <v>1.2986442405288611E-2</v>
      </c>
    </row>
    <row r="384" spans="2:15" ht="18" x14ac:dyDescent="0.3">
      <c r="F384" s="3" t="s">
        <v>151</v>
      </c>
      <c r="G384" s="26">
        <f>($G$74*G380*(($G$110-G382)^2))+(($G$74*G377/$G$111)*((($G$107/2)-G382)^2))+(G381*(G382^3)/3)</f>
        <v>2.505008530587284</v>
      </c>
      <c r="N384" s="3" t="s">
        <v>168</v>
      </c>
      <c r="O384" s="31">
        <f>G395/$G$153</f>
        <v>1.8545775907559448E-2</v>
      </c>
    </row>
    <row r="385" spans="2:15" ht="18" x14ac:dyDescent="0.3">
      <c r="F385" s="3" t="s">
        <v>186</v>
      </c>
      <c r="G385" s="26">
        <f>IF(($G$118*0.9)&lt;$G$137,0.75*$G$136,G384)</f>
        <v>100.19999999999999</v>
      </c>
      <c r="N385" s="3" t="s">
        <v>169</v>
      </c>
      <c r="O385" s="16" t="str">
        <f>IF(G379&gt;=24,"OK","Recheck")</f>
        <v>OK</v>
      </c>
    </row>
    <row r="386" spans="2:15" ht="17.25" x14ac:dyDescent="0.3">
      <c r="F386" s="3" t="s">
        <v>146</v>
      </c>
      <c r="G386" s="18">
        <f>((3.1415^2)*($G$72*G385)/($G$105^2))</f>
        <v>75109.941472981751</v>
      </c>
      <c r="N386" s="3"/>
      <c r="O386" s="18"/>
    </row>
    <row r="387" spans="2:15" x14ac:dyDescent="0.2">
      <c r="F387" s="3" t="s">
        <v>148</v>
      </c>
      <c r="G387" s="7">
        <f>1/(1-(G378/G386))</f>
        <v>1.0037042609230089</v>
      </c>
    </row>
    <row r="388" spans="2:15" ht="17.25" x14ac:dyDescent="0.3">
      <c r="F388" s="3" t="s">
        <v>152</v>
      </c>
      <c r="G388" s="18">
        <f>G387*$G$118</f>
        <v>2345.7197972609019</v>
      </c>
      <c r="N388" s="28" t="s">
        <v>181</v>
      </c>
      <c r="O388" s="1" t="str">
        <f>IF(OR(O381&gt;1,O382&gt;1,O383&gt;1,O384&gt;1),"Redesign","OK")</f>
        <v>OK</v>
      </c>
    </row>
    <row r="389" spans="2:15" x14ac:dyDescent="0.2">
      <c r="F389" s="3" t="s">
        <v>24</v>
      </c>
      <c r="G389" s="7">
        <f>((G380*$G$111)+(G377/0.9))/(0.8*$G$112*G381)</f>
        <v>0.26721340388007053</v>
      </c>
    </row>
    <row r="390" spans="2:15" ht="17.25" x14ac:dyDescent="0.3">
      <c r="F390" s="3" t="s">
        <v>153</v>
      </c>
      <c r="G390" s="18">
        <f>((G377/0.9)+(G380*$G$111))*($G$110-(G389/2))</f>
        <v>3607.814431902802</v>
      </c>
    </row>
    <row r="391" spans="2:15" x14ac:dyDescent="0.2">
      <c r="C391" s="1" t="s">
        <v>143</v>
      </c>
    </row>
    <row r="392" spans="2:15" ht="17.25" x14ac:dyDescent="0.3">
      <c r="F392" s="3" t="s">
        <v>145</v>
      </c>
      <c r="G392" s="18">
        <f>($G$39*(G379/12))*($G$104/2)</f>
        <v>584.26567679999994</v>
      </c>
    </row>
    <row r="393" spans="2:15" x14ac:dyDescent="0.2">
      <c r="C393" s="1" t="s">
        <v>147</v>
      </c>
      <c r="F393" s="3"/>
      <c r="G393" s="18"/>
    </row>
    <row r="394" spans="2:15" ht="17.25" x14ac:dyDescent="0.3">
      <c r="F394" s="3" t="s">
        <v>119</v>
      </c>
      <c r="G394" s="27">
        <f>(IF($G$138&lt;$G$137,(5*$G$138*$G$105*$G$105)/(48*$G$72*$G$136),(5*$G$137*$G$105*$G$105)/(48*$G$72*$G$136)+(5*($G$138-$G$137)*$G$105*$G$105)/(48*$G$72*G384)))*G387</f>
        <v>1.309033394453092E-2</v>
      </c>
    </row>
    <row r="395" spans="2:15" ht="17.25" x14ac:dyDescent="0.3">
      <c r="F395" s="3" t="s">
        <v>120</v>
      </c>
      <c r="G395" s="27">
        <f>((5*(($G$6*$G$105^2/8)/12)*($G$105^2))/(48*$G$72*$G$136))*G387</f>
        <v>1.1127465544535668E-2</v>
      </c>
    </row>
    <row r="397" spans="2:15" x14ac:dyDescent="0.2">
      <c r="B397" s="1" t="s">
        <v>198</v>
      </c>
    </row>
    <row r="398" spans="2:15" x14ac:dyDescent="0.2">
      <c r="C398" s="1" t="s">
        <v>142</v>
      </c>
    </row>
    <row r="399" spans="2:15" x14ac:dyDescent="0.2">
      <c r="F399" s="3" t="s">
        <v>99</v>
      </c>
      <c r="G399" s="18">
        <f>$G$119</f>
        <v>132.08000000000001</v>
      </c>
    </row>
    <row r="400" spans="2:15" x14ac:dyDescent="0.2">
      <c r="F400" s="3" t="s">
        <v>100</v>
      </c>
      <c r="G400" s="18">
        <f>$G$158</f>
        <v>277.2</v>
      </c>
    </row>
    <row r="401" spans="3:15" x14ac:dyDescent="0.2">
      <c r="F401" s="3" t="s">
        <v>182</v>
      </c>
      <c r="G401" s="23">
        <f>IF(O388="Redesign",O379-8,O379)</f>
        <v>120</v>
      </c>
      <c r="N401" s="3" t="s">
        <v>163</v>
      </c>
      <c r="O401" s="23">
        <f>G401</f>
        <v>120</v>
      </c>
    </row>
    <row r="402" spans="3:15" ht="16.5" x14ac:dyDescent="0.2">
      <c r="F402" s="3" t="s">
        <v>139</v>
      </c>
      <c r="G402" s="19">
        <f>$G$109/(G401/12)</f>
        <v>0.02</v>
      </c>
      <c r="N402" s="3" t="s">
        <v>164</v>
      </c>
      <c r="O402" s="6" t="str">
        <f>IF(G405&lt;=0.333,"OK","Increase Assembly Compressive Strength")</f>
        <v>OK</v>
      </c>
    </row>
    <row r="403" spans="3:15" x14ac:dyDescent="0.2">
      <c r="F403" s="3" t="s">
        <v>138</v>
      </c>
      <c r="G403" s="6">
        <f>IF(G401&gt;6*$G$106,(6*$G$106)/(G401/12),6*$G$106)</f>
        <v>3.6</v>
      </c>
      <c r="N403" s="3" t="s">
        <v>165</v>
      </c>
      <c r="O403" s="31">
        <f>G410/G412</f>
        <v>0.65017750816627862</v>
      </c>
    </row>
    <row r="404" spans="3:15" x14ac:dyDescent="0.2">
      <c r="F404" s="3" t="s">
        <v>25</v>
      </c>
      <c r="G404" s="19">
        <f>IF(G401&gt;6*$G$106,((G402*$G$111)+G400)/(0.64*$G$112*G403),((G402*$G$111)+G400)/(0.64*$G$112*12))</f>
        <v>0.36636904761904765</v>
      </c>
      <c r="N404" s="3" t="s">
        <v>166</v>
      </c>
      <c r="O404" s="31">
        <f>G414/$G$147</f>
        <v>0.33239020787790313</v>
      </c>
    </row>
    <row r="405" spans="3:15" ht="17.25" x14ac:dyDescent="0.3">
      <c r="F405" s="3" t="s">
        <v>140</v>
      </c>
      <c r="G405" s="19">
        <f>G404/$G$110</f>
        <v>0.13026455026455028</v>
      </c>
      <c r="N405" s="3" t="s">
        <v>167</v>
      </c>
      <c r="O405" s="31">
        <f>G416/$G$151</f>
        <v>1.2986442405288611E-2</v>
      </c>
    </row>
    <row r="406" spans="3:15" ht="18" x14ac:dyDescent="0.3">
      <c r="F406" s="3" t="s">
        <v>151</v>
      </c>
      <c r="G406" s="26">
        <f>($G$74*G402*(($G$110-G404)^2))+(($G$74*G399/$G$111)*((($G$107/2)-G404)^2))+(G403*(G404^3)/3)</f>
        <v>2.505008530587284</v>
      </c>
      <c r="N406" s="3" t="s">
        <v>168</v>
      </c>
      <c r="O406" s="31">
        <f>G417/$G$153</f>
        <v>1.8545775907559448E-2</v>
      </c>
    </row>
    <row r="407" spans="3:15" ht="18" x14ac:dyDescent="0.3">
      <c r="F407" s="3" t="s">
        <v>186</v>
      </c>
      <c r="G407" s="26">
        <f>IF(($G$118*0.9)&lt;$G$137,0.75*$G$136,G406)</f>
        <v>100.19999999999999</v>
      </c>
      <c r="N407" s="3" t="s">
        <v>169</v>
      </c>
      <c r="O407" s="16" t="str">
        <f>IF(G401&gt;=24,"OK","Recheck")</f>
        <v>OK</v>
      </c>
    </row>
    <row r="408" spans="3:15" ht="17.25" x14ac:dyDescent="0.3">
      <c r="F408" s="3" t="s">
        <v>146</v>
      </c>
      <c r="G408" s="18">
        <f>((3.1415^2)*($G$72*G407)/($G$105^2))</f>
        <v>75109.941472981751</v>
      </c>
      <c r="N408" s="3"/>
      <c r="O408" s="18"/>
    </row>
    <row r="409" spans="3:15" x14ac:dyDescent="0.2">
      <c r="F409" s="3" t="s">
        <v>148</v>
      </c>
      <c r="G409" s="7">
        <f>1/(1-(G400/G408))</f>
        <v>1.0037042609230089</v>
      </c>
    </row>
    <row r="410" spans="3:15" ht="17.25" x14ac:dyDescent="0.3">
      <c r="F410" s="3" t="s">
        <v>152</v>
      </c>
      <c r="G410" s="18">
        <f>G409*$G$118</f>
        <v>2345.7197972609019</v>
      </c>
      <c r="N410" s="28" t="s">
        <v>181</v>
      </c>
      <c r="O410" s="1" t="str">
        <f>IF(OR(O403&gt;1,O404&gt;1,O405&gt;1,O406&gt;1),"Redesign","OK")</f>
        <v>OK</v>
      </c>
    </row>
    <row r="411" spans="3:15" x14ac:dyDescent="0.2">
      <c r="F411" s="3" t="s">
        <v>24</v>
      </c>
      <c r="G411" s="7">
        <f>((G402*$G$111)+(G399/0.9))/(0.8*$G$112*G403)</f>
        <v>0.26721340388007053</v>
      </c>
    </row>
    <row r="412" spans="3:15" ht="17.25" x14ac:dyDescent="0.3">
      <c r="F412" s="3" t="s">
        <v>153</v>
      </c>
      <c r="G412" s="18">
        <f>((G399/0.9)+(G402*$G$111))*($G$110-(G411/2))</f>
        <v>3607.814431902802</v>
      </c>
    </row>
    <row r="413" spans="3:15" x14ac:dyDescent="0.2">
      <c r="C413" s="1" t="s">
        <v>143</v>
      </c>
    </row>
    <row r="414" spans="3:15" ht="17.25" x14ac:dyDescent="0.3">
      <c r="F414" s="3" t="s">
        <v>145</v>
      </c>
      <c r="G414" s="18">
        <f>($G$39*(G401/12))*($G$104/2)</f>
        <v>584.26567679999994</v>
      </c>
    </row>
    <row r="415" spans="3:15" x14ac:dyDescent="0.2">
      <c r="C415" s="1" t="s">
        <v>147</v>
      </c>
      <c r="F415" s="3"/>
      <c r="G415" s="18"/>
    </row>
    <row r="416" spans="3:15" ht="17.25" x14ac:dyDescent="0.3">
      <c r="F416" s="3" t="s">
        <v>119</v>
      </c>
      <c r="G416" s="27">
        <f>(IF($G$138&lt;$G$137,(5*$G$138*$G$105*$G$105)/(48*$G$72*$G$136),(5*$G$137*$G$105*$G$105)/(48*$G$72*$G$136)+(5*($G$138-$G$137)*$G$105*$G$105)/(48*$G$72*G406)))*G409</f>
        <v>1.309033394453092E-2</v>
      </c>
    </row>
    <row r="417" spans="2:15" ht="17.25" x14ac:dyDescent="0.3">
      <c r="F417" s="3" t="s">
        <v>120</v>
      </c>
      <c r="G417" s="27">
        <f>((5*(($G$6*$G$105^2/8)/12)*($G$105^2))/(48*$G$72*$G$136))*G409</f>
        <v>1.1127465544535668E-2</v>
      </c>
    </row>
    <row r="419" spans="2:15" x14ac:dyDescent="0.2">
      <c r="B419" s="1" t="s">
        <v>199</v>
      </c>
    </row>
    <row r="420" spans="2:15" x14ac:dyDescent="0.2">
      <c r="C420" s="1" t="s">
        <v>142</v>
      </c>
    </row>
    <row r="421" spans="2:15" x14ac:dyDescent="0.2">
      <c r="F421" s="3" t="s">
        <v>99</v>
      </c>
      <c r="G421" s="18">
        <f>$G$119</f>
        <v>132.08000000000001</v>
      </c>
    </row>
    <row r="422" spans="2:15" x14ac:dyDescent="0.2">
      <c r="F422" s="3" t="s">
        <v>100</v>
      </c>
      <c r="G422" s="18">
        <f>$G$158</f>
        <v>277.2</v>
      </c>
    </row>
    <row r="423" spans="2:15" x14ac:dyDescent="0.2">
      <c r="F423" s="3" t="s">
        <v>182</v>
      </c>
      <c r="G423" s="23">
        <f>IF(O410="Redesign",O401-8,O401)</f>
        <v>120</v>
      </c>
      <c r="N423" s="3" t="s">
        <v>163</v>
      </c>
      <c r="O423" s="23">
        <f>G423</f>
        <v>120</v>
      </c>
    </row>
    <row r="424" spans="2:15" ht="16.5" x14ac:dyDescent="0.2">
      <c r="F424" s="3" t="s">
        <v>139</v>
      </c>
      <c r="G424" s="19">
        <f>$G$109/(G423/12)</f>
        <v>0.02</v>
      </c>
      <c r="N424" s="3" t="s">
        <v>164</v>
      </c>
      <c r="O424" s="6" t="str">
        <f>IF(G427&lt;=0.333,"OK","Increase Assembly Compressive Strength")</f>
        <v>OK</v>
      </c>
    </row>
    <row r="425" spans="2:15" x14ac:dyDescent="0.2">
      <c r="F425" s="3" t="s">
        <v>138</v>
      </c>
      <c r="G425" s="6">
        <f>IF(G423&gt;6*$G$106,(6*$G$106)/(G423/12),6*$G$106)</f>
        <v>3.6</v>
      </c>
      <c r="N425" s="3" t="s">
        <v>165</v>
      </c>
      <c r="O425" s="31">
        <f>G432/G434</f>
        <v>0.65017750816627862</v>
      </c>
    </row>
    <row r="426" spans="2:15" x14ac:dyDescent="0.2">
      <c r="F426" s="3" t="s">
        <v>25</v>
      </c>
      <c r="G426" s="19">
        <f>IF(G423&gt;6*$G$106,((G424*$G$111)+G422)/(0.64*$G$112*G425),((G424*$G$111)+G422)/(0.64*$G$112*12))</f>
        <v>0.36636904761904765</v>
      </c>
      <c r="N426" s="3" t="s">
        <v>166</v>
      </c>
      <c r="O426" s="31">
        <f>G436/$G$147</f>
        <v>0.33239020787790313</v>
      </c>
    </row>
    <row r="427" spans="2:15" ht="17.25" x14ac:dyDescent="0.3">
      <c r="F427" s="3" t="s">
        <v>140</v>
      </c>
      <c r="G427" s="19">
        <f>G426/$G$110</f>
        <v>0.13026455026455028</v>
      </c>
      <c r="N427" s="3" t="s">
        <v>167</v>
      </c>
      <c r="O427" s="31">
        <f>G438/$G$151</f>
        <v>1.2986442405288611E-2</v>
      </c>
    </row>
    <row r="428" spans="2:15" ht="18" x14ac:dyDescent="0.3">
      <c r="F428" s="3" t="s">
        <v>151</v>
      </c>
      <c r="G428" s="26">
        <f>($G$74*G424*(($G$110-G426)^2))+(($G$74*G421/$G$111)*((($G$107/2)-G426)^2))+(G425*(G426^3)/3)</f>
        <v>2.505008530587284</v>
      </c>
      <c r="N428" s="3" t="s">
        <v>168</v>
      </c>
      <c r="O428" s="31">
        <f>G439/$G$153</f>
        <v>1.8545775907559448E-2</v>
      </c>
    </row>
    <row r="429" spans="2:15" ht="18" x14ac:dyDescent="0.3">
      <c r="F429" s="3" t="s">
        <v>186</v>
      </c>
      <c r="G429" s="26">
        <f>IF(($G$118*0.9)&lt;$G$137,0.75*$G$136,G428)</f>
        <v>100.19999999999999</v>
      </c>
      <c r="N429" s="3" t="s">
        <v>169</v>
      </c>
      <c r="O429" s="16" t="str">
        <f>IF(G423&gt;=24,"OK","Recheck")</f>
        <v>OK</v>
      </c>
    </row>
    <row r="430" spans="2:15" ht="17.25" x14ac:dyDescent="0.3">
      <c r="F430" s="3" t="s">
        <v>146</v>
      </c>
      <c r="G430" s="18">
        <f>((3.1415^2)*($G$72*G429)/($G$105^2))</f>
        <v>75109.941472981751</v>
      </c>
      <c r="N430" s="3"/>
      <c r="O430" s="18"/>
    </row>
    <row r="431" spans="2:15" x14ac:dyDescent="0.2">
      <c r="F431" s="3" t="s">
        <v>148</v>
      </c>
      <c r="G431" s="7">
        <f>1/(1-(G422/G430))</f>
        <v>1.0037042609230089</v>
      </c>
    </row>
    <row r="432" spans="2:15" ht="17.25" x14ac:dyDescent="0.3">
      <c r="F432" s="3" t="s">
        <v>152</v>
      </c>
      <c r="G432" s="18">
        <f>G431*$G$118</f>
        <v>2345.7197972609019</v>
      </c>
      <c r="N432" s="28" t="s">
        <v>181</v>
      </c>
      <c r="O432" s="1" t="str">
        <f>IF(OR(O425&gt;1,O426&gt;1,O427&gt;1,O428&gt;1),"Redesign","OK")</f>
        <v>OK</v>
      </c>
    </row>
    <row r="433" spans="2:23" x14ac:dyDescent="0.2">
      <c r="F433" s="3" t="s">
        <v>24</v>
      </c>
      <c r="G433" s="7">
        <f>((G424*$G$111)+(G421/0.9))/(0.8*$G$112*G425)</f>
        <v>0.26721340388007053</v>
      </c>
    </row>
    <row r="434" spans="2:23" ht="17.25" x14ac:dyDescent="0.3">
      <c r="F434" s="3" t="s">
        <v>153</v>
      </c>
      <c r="G434" s="18">
        <f>((G421/0.9)+(G424*$G$111))*($G$110-(G433/2))</f>
        <v>3607.814431902802</v>
      </c>
    </row>
    <row r="435" spans="2:23" x14ac:dyDescent="0.2">
      <c r="C435" s="1" t="s">
        <v>143</v>
      </c>
    </row>
    <row r="436" spans="2:23" ht="17.25" x14ac:dyDescent="0.3">
      <c r="F436" s="3" t="s">
        <v>145</v>
      </c>
      <c r="G436" s="18">
        <f>($G$39*(G423/12))*($G$104/2)</f>
        <v>584.26567679999994</v>
      </c>
    </row>
    <row r="437" spans="2:23" ht="17.25" x14ac:dyDescent="0.25">
      <c r="C437" s="1" t="s">
        <v>147</v>
      </c>
      <c r="F437" s="3"/>
      <c r="G437" s="18"/>
      <c r="N437"/>
      <c r="O437"/>
      <c r="P437"/>
      <c r="Q437"/>
      <c r="S437" s="49" t="s">
        <v>201</v>
      </c>
      <c r="T437" s="49"/>
      <c r="U437" s="49"/>
      <c r="V437" s="49"/>
    </row>
    <row r="438" spans="2:23" ht="17.25" x14ac:dyDescent="0.3">
      <c r="F438" s="3" t="s">
        <v>119</v>
      </c>
      <c r="G438" s="27">
        <f>(IF($G$138&lt;$G$137,(5*$G$138*$G$105*$G$105)/(48*$G$72*$G$136),(5*$G$137*$G$105*$G$105)/(48*$G$72*$G$136)+(5*($G$138-$G$137)*$G$105*$G$105)/(48*$G$72*G428)))*G431</f>
        <v>1.309033394453092E-2</v>
      </c>
      <c r="N438"/>
      <c r="O438"/>
      <c r="P438"/>
      <c r="Q438"/>
      <c r="S438" s="47" t="s">
        <v>69</v>
      </c>
      <c r="T438" s="47" t="s">
        <v>70</v>
      </c>
      <c r="U438" s="47" t="s">
        <v>71</v>
      </c>
      <c r="V438" s="47" t="s">
        <v>72</v>
      </c>
      <c r="W438" s="47" t="s">
        <v>81</v>
      </c>
    </row>
    <row r="439" spans="2:23" ht="17.25" x14ac:dyDescent="0.3">
      <c r="F439" s="3" t="s">
        <v>120</v>
      </c>
      <c r="G439" s="27">
        <f>((5*(($G$6*$G$105^2/8)/12)*($G$105^2))/(48*$G$72*$G$136))*G431</f>
        <v>1.1127465544535668E-2</v>
      </c>
      <c r="N439"/>
      <c r="O439"/>
      <c r="P439"/>
      <c r="Q439"/>
      <c r="S439" s="48"/>
      <c r="T439" s="48"/>
      <c r="U439" s="48"/>
      <c r="V439" s="48"/>
      <c r="W439" s="48"/>
    </row>
    <row r="440" spans="2:23" ht="15" x14ac:dyDescent="0.25">
      <c r="N440"/>
      <c r="O440"/>
      <c r="P440"/>
      <c r="Q440"/>
      <c r="S440" s="4">
        <v>6</v>
      </c>
      <c r="T440" s="4">
        <v>58</v>
      </c>
      <c r="U440" s="4">
        <v>61</v>
      </c>
      <c r="V440" s="4">
        <v>64</v>
      </c>
      <c r="W440" s="4">
        <f t="shared" ref="W440:W445" si="3">IF($G$29="Lightweight",T440,IF($G$29="Medium Weight",U440,V440))</f>
        <v>61</v>
      </c>
    </row>
    <row r="441" spans="2:23" ht="15" x14ac:dyDescent="0.25">
      <c r="B441" s="1" t="s">
        <v>200</v>
      </c>
      <c r="N441"/>
      <c r="O441"/>
      <c r="P441"/>
      <c r="Q441"/>
      <c r="S441" s="4">
        <v>8</v>
      </c>
      <c r="T441" s="4">
        <v>78</v>
      </c>
      <c r="U441" s="4">
        <v>82</v>
      </c>
      <c r="V441" s="4">
        <v>86</v>
      </c>
      <c r="W441" s="4">
        <f t="shared" si="3"/>
        <v>82</v>
      </c>
    </row>
    <row r="442" spans="2:23" ht="15" x14ac:dyDescent="0.25">
      <c r="C442" s="1" t="s">
        <v>142</v>
      </c>
      <c r="N442"/>
      <c r="O442"/>
      <c r="P442"/>
      <c r="Q442"/>
      <c r="S442" s="4">
        <v>10</v>
      </c>
      <c r="T442" s="4">
        <v>100</v>
      </c>
      <c r="U442" s="4">
        <v>105</v>
      </c>
      <c r="V442" s="4">
        <v>109</v>
      </c>
      <c r="W442" s="4">
        <f t="shared" si="3"/>
        <v>105</v>
      </c>
    </row>
    <row r="443" spans="2:23" x14ac:dyDescent="0.2">
      <c r="F443" s="3" t="s">
        <v>99</v>
      </c>
      <c r="G443" s="18">
        <f>$G$119</f>
        <v>132.08000000000001</v>
      </c>
      <c r="S443" s="4">
        <v>12</v>
      </c>
      <c r="T443" s="4">
        <v>122</v>
      </c>
      <c r="U443" s="4">
        <v>127</v>
      </c>
      <c r="V443" s="4">
        <v>132</v>
      </c>
      <c r="W443" s="4">
        <f t="shared" si="3"/>
        <v>127</v>
      </c>
    </row>
    <row r="444" spans="2:23" x14ac:dyDescent="0.2">
      <c r="F444" s="3" t="s">
        <v>100</v>
      </c>
      <c r="G444" s="18">
        <f>IF(OR(O429="Recheck",'User Inputs and Report'!H17="Fully"),W460,G422)</f>
        <v>277.2</v>
      </c>
      <c r="S444" s="4">
        <v>14</v>
      </c>
      <c r="T444" s="4">
        <v>144</v>
      </c>
      <c r="U444" s="4">
        <v>149</v>
      </c>
      <c r="V444" s="4">
        <v>155</v>
      </c>
      <c r="W444" s="4">
        <f t="shared" si="3"/>
        <v>149</v>
      </c>
    </row>
    <row r="445" spans="2:23" x14ac:dyDescent="0.2">
      <c r="F445" s="3" t="s">
        <v>182</v>
      </c>
      <c r="G445" s="23">
        <f>IF(O432="Redesign",O423-8,O423)</f>
        <v>120</v>
      </c>
      <c r="N445" s="3" t="s">
        <v>163</v>
      </c>
      <c r="O445" s="23">
        <f>G445</f>
        <v>120</v>
      </c>
      <c r="S445" s="4">
        <v>16</v>
      </c>
      <c r="T445" s="4">
        <v>166</v>
      </c>
      <c r="U445" s="4">
        <v>171</v>
      </c>
      <c r="V445" s="4">
        <v>178</v>
      </c>
      <c r="W445" s="4">
        <f t="shared" si="3"/>
        <v>171</v>
      </c>
    </row>
    <row r="446" spans="2:23" ht="16.5" x14ac:dyDescent="0.2">
      <c r="F446" s="3" t="s">
        <v>139</v>
      </c>
      <c r="G446" s="19">
        <f>$G$109/(G445/12)</f>
        <v>0.02</v>
      </c>
      <c r="N446" s="3" t="s">
        <v>164</v>
      </c>
      <c r="O446" s="6" t="str">
        <f>IF(G449&lt;=0.333,"OK","Increase Assembly Compressive Strength")</f>
        <v>OK</v>
      </c>
    </row>
    <row r="447" spans="2:23" x14ac:dyDescent="0.2">
      <c r="F447" s="3" t="s">
        <v>138</v>
      </c>
      <c r="G447" s="6">
        <f>IF(G445&gt;6*$G$106,(6*$G$106)/(G445/12),6*$G$106)</f>
        <v>3.6</v>
      </c>
      <c r="N447" s="3" t="s">
        <v>165</v>
      </c>
      <c r="O447" s="31">
        <f>G454/G456</f>
        <v>0.65017750816627862</v>
      </c>
    </row>
    <row r="448" spans="2:23" x14ac:dyDescent="0.2">
      <c r="F448" s="3" t="s">
        <v>25</v>
      </c>
      <c r="G448" s="19">
        <f>IF(G445&gt;6*$G$106,((G446*$G$111)+G444)/(0.64*$G$112*G447),((G446*$G$111)+G444)/(0.64*$G$112*12))</f>
        <v>0.36636904761904765</v>
      </c>
      <c r="N448" s="3" t="s">
        <v>166</v>
      </c>
      <c r="O448" s="31">
        <f>G458/$G$147</f>
        <v>0.33239020787790313</v>
      </c>
      <c r="S448" s="1" t="s">
        <v>184</v>
      </c>
    </row>
    <row r="449" spans="2:23" ht="17.25" x14ac:dyDescent="0.3">
      <c r="F449" s="3" t="s">
        <v>140</v>
      </c>
      <c r="G449" s="19">
        <f>G448/$G$110</f>
        <v>0.13026455026455028</v>
      </c>
      <c r="N449" s="3" t="s">
        <v>167</v>
      </c>
      <c r="O449" s="31">
        <f>G460/$G$151</f>
        <v>1.2986442405288611E-2</v>
      </c>
      <c r="V449" s="3" t="s">
        <v>41</v>
      </c>
      <c r="W449" s="7">
        <f>$G$54</f>
        <v>12</v>
      </c>
    </row>
    <row r="450" spans="2:23" ht="18" x14ac:dyDescent="0.3">
      <c r="F450" s="3" t="s">
        <v>151</v>
      </c>
      <c r="G450" s="26">
        <f>($G$74*G446*(($G$110-G448)^2))+(($G$74*G443/$G$111)*((($G$107/2)-G448)^2))+(G447*(G448^3)/3)</f>
        <v>2.505008530587284</v>
      </c>
      <c r="N450" s="3" t="s">
        <v>168</v>
      </c>
      <c r="O450" s="31">
        <f>G461/$G$153</f>
        <v>1.8545775907559448E-2</v>
      </c>
      <c r="V450" s="3" t="s">
        <v>13</v>
      </c>
      <c r="W450" s="16">
        <f>$G$55</f>
        <v>6</v>
      </c>
    </row>
    <row r="451" spans="2:23" ht="18" x14ac:dyDescent="0.3">
      <c r="F451" s="3" t="s">
        <v>186</v>
      </c>
      <c r="G451" s="26">
        <f>IF(($G$118*0.9)&lt;$G$137,0.75*$G$136,G450)</f>
        <v>100.19999999999999</v>
      </c>
      <c r="N451" s="3" t="s">
        <v>169</v>
      </c>
      <c r="O451" s="16" t="str">
        <f>IF(G445&gt;=8,"OK","Recheck")</f>
        <v>OK</v>
      </c>
      <c r="V451" s="3" t="s">
        <v>96</v>
      </c>
      <c r="W451" s="23">
        <f>_xlfn.XLOOKUP(W450,S440:S445,W440:W445)</f>
        <v>61</v>
      </c>
    </row>
    <row r="452" spans="2:23" ht="17.25" x14ac:dyDescent="0.3">
      <c r="F452" s="3" t="s">
        <v>146</v>
      </c>
      <c r="G452" s="18">
        <f>((3.1415^2)*($G$72*G451)/($G$105^2))</f>
        <v>75109.941472981751</v>
      </c>
      <c r="N452" s="3"/>
      <c r="O452" s="18"/>
      <c r="V452" s="3" t="s">
        <v>97</v>
      </c>
      <c r="W452" s="6">
        <f>W451*W449/2</f>
        <v>366</v>
      </c>
    </row>
    <row r="453" spans="2:23" ht="17.25" x14ac:dyDescent="0.3">
      <c r="F453" s="3" t="s">
        <v>148</v>
      </c>
      <c r="G453" s="7">
        <f>1/(1-(G444/G452))</f>
        <v>1.0037042609230089</v>
      </c>
      <c r="V453" s="3" t="s">
        <v>98</v>
      </c>
      <c r="W453" s="6">
        <f>IF(OR($G$32="A",$G$32="B"),0,0.2*$G$22*W452)</f>
        <v>19.52</v>
      </c>
    </row>
    <row r="454" spans="2:23" ht="17.25" x14ac:dyDescent="0.3">
      <c r="F454" s="3" t="s">
        <v>152</v>
      </c>
      <c r="G454" s="18">
        <f>G453*$G$118</f>
        <v>2345.7197972609019</v>
      </c>
      <c r="N454" s="28" t="s">
        <v>181</v>
      </c>
      <c r="O454" s="1" t="str">
        <f>IF(OR(O447&gt;1,O448&gt;1,O449&gt;1,O450&gt;1),"Redesign","OK")</f>
        <v>OK</v>
      </c>
      <c r="V454" s="3" t="s">
        <v>90</v>
      </c>
      <c r="W454" s="6">
        <f>1.4*($G$4+W452)</f>
        <v>512.4</v>
      </c>
    </row>
    <row r="455" spans="2:23" x14ac:dyDescent="0.2">
      <c r="F455" s="3" t="s">
        <v>24</v>
      </c>
      <c r="G455" s="7">
        <f>((G446*$G$111)+(G443/0.9))/(0.8*$G$112*G447)</f>
        <v>0.26721340388007053</v>
      </c>
      <c r="V455" s="3" t="s">
        <v>89</v>
      </c>
      <c r="W455" s="6">
        <f>1.2*($G$4+W452)+1.6*($G$5)</f>
        <v>439.2</v>
      </c>
    </row>
    <row r="456" spans="2:23" ht="17.25" x14ac:dyDescent="0.3">
      <c r="F456" s="3" t="s">
        <v>153</v>
      </c>
      <c r="G456" s="18">
        <f>((G443/0.9)+(G446*$G$111))*($G$110-(G455/2))</f>
        <v>3607.814431902802</v>
      </c>
      <c r="V456" s="3" t="s">
        <v>91</v>
      </c>
      <c r="W456" s="6">
        <f>1.2*($G$4+W452)+1*($G$5)</f>
        <v>439.2</v>
      </c>
    </row>
    <row r="457" spans="2:23" x14ac:dyDescent="0.2">
      <c r="C457" s="1" t="s">
        <v>143</v>
      </c>
      <c r="V457" s="3" t="s">
        <v>92</v>
      </c>
      <c r="W457" s="6">
        <f>0.9*(W452+$G$4)</f>
        <v>329.40000000000003</v>
      </c>
    </row>
    <row r="458" spans="2:23" ht="17.25" x14ac:dyDescent="0.3">
      <c r="F458" s="3" t="s">
        <v>145</v>
      </c>
      <c r="G458" s="18">
        <f>($G$39*(G445/12))*($G$104/2)</f>
        <v>584.26567679999994</v>
      </c>
      <c r="V458" s="3" t="s">
        <v>94</v>
      </c>
      <c r="W458" s="6">
        <f>1.2*(W452+$G$4)+1*(W453)+1*($G$5)</f>
        <v>458.71999999999997</v>
      </c>
    </row>
    <row r="459" spans="2:23" ht="17.25" x14ac:dyDescent="0.3">
      <c r="C459" s="1" t="s">
        <v>147</v>
      </c>
      <c r="F459" s="3"/>
      <c r="G459" s="18"/>
      <c r="V459" s="3" t="s">
        <v>95</v>
      </c>
      <c r="W459" s="6">
        <f>0.9*(W452+$G$4)-1*(W453)</f>
        <v>309.88000000000005</v>
      </c>
    </row>
    <row r="460" spans="2:23" ht="17.25" x14ac:dyDescent="0.3">
      <c r="F460" s="3" t="s">
        <v>119</v>
      </c>
      <c r="G460" s="27">
        <f>(IF($G$138&lt;$G$137,(5*$G$138*$G$105*$G$105)/(48*$G$72*$G$136),(5*$G$137*$G$105*$G$105)/(48*$G$72*$G$136)+(5*($G$138-$G$137)*$G$105*$G$105)/(48*$G$72*G450)))*G453</f>
        <v>1.309033394453092E-2</v>
      </c>
      <c r="V460" s="3" t="s">
        <v>100</v>
      </c>
      <c r="W460" s="6">
        <f>MAX(W454:W459)</f>
        <v>512.4</v>
      </c>
    </row>
    <row r="461" spans="2:23" ht="17.25" x14ac:dyDescent="0.3">
      <c r="F461" s="3" t="s">
        <v>120</v>
      </c>
      <c r="G461" s="27">
        <f>((5*(($G$6*$G$105^2/8)/12)*($G$105^2))/(48*$G$72*$G$136))*G453</f>
        <v>1.1127465544535668E-2</v>
      </c>
    </row>
    <row r="463" spans="2:23" x14ac:dyDescent="0.2">
      <c r="B463" s="1" t="s">
        <v>204</v>
      </c>
    </row>
    <row r="464" spans="2:23" x14ac:dyDescent="0.2">
      <c r="C464" s="1" t="s">
        <v>142</v>
      </c>
    </row>
    <row r="465" spans="3:15" x14ac:dyDescent="0.2">
      <c r="F465" s="3" t="s">
        <v>99</v>
      </c>
      <c r="G465" s="18">
        <f>$G$119</f>
        <v>132.08000000000001</v>
      </c>
    </row>
    <row r="466" spans="3:15" x14ac:dyDescent="0.2">
      <c r="F466" s="3" t="s">
        <v>100</v>
      </c>
      <c r="G466" s="18">
        <f>$G$444</f>
        <v>277.2</v>
      </c>
    </row>
    <row r="467" spans="3:15" x14ac:dyDescent="0.2">
      <c r="F467" s="3" t="s">
        <v>182</v>
      </c>
      <c r="G467" s="23">
        <f>IF(O454="Redesign",O445-8,O445)</f>
        <v>120</v>
      </c>
      <c r="N467" s="3" t="s">
        <v>163</v>
      </c>
      <c r="O467" s="23">
        <f>G467</f>
        <v>120</v>
      </c>
    </row>
    <row r="468" spans="3:15" ht="16.5" x14ac:dyDescent="0.2">
      <c r="F468" s="3" t="s">
        <v>139</v>
      </c>
      <c r="G468" s="19">
        <f>$G$109/(G467/12)</f>
        <v>0.02</v>
      </c>
      <c r="N468" s="3" t="s">
        <v>164</v>
      </c>
      <c r="O468" s="6" t="str">
        <f>IF(G471&lt;=0.333,"OK","Increase Assembly Compressive Strength")</f>
        <v>OK</v>
      </c>
    </row>
    <row r="469" spans="3:15" x14ac:dyDescent="0.2">
      <c r="F469" s="3" t="s">
        <v>138</v>
      </c>
      <c r="G469" s="6">
        <f>IF(G467&gt;6*$G$106,(6*$G$106)/(G467/12),6*$G$106)</f>
        <v>3.6</v>
      </c>
      <c r="N469" s="3" t="s">
        <v>165</v>
      </c>
      <c r="O469" s="31">
        <f>G476/G478</f>
        <v>0.65017750816627862</v>
      </c>
    </row>
    <row r="470" spans="3:15" x14ac:dyDescent="0.2">
      <c r="F470" s="3" t="s">
        <v>25</v>
      </c>
      <c r="G470" s="19">
        <f>IF(G467&gt;6*$G$106,((G468*$G$111)+G466)/(0.64*$G$112*G469),((G468*$G$111)+G466)/(0.64*$G$112*12))</f>
        <v>0.36636904761904765</v>
      </c>
      <c r="N470" s="3" t="s">
        <v>166</v>
      </c>
      <c r="O470" s="31">
        <f>G480/$G$147</f>
        <v>0.33239020787790313</v>
      </c>
    </row>
    <row r="471" spans="3:15" ht="17.25" x14ac:dyDescent="0.3">
      <c r="F471" s="3" t="s">
        <v>140</v>
      </c>
      <c r="G471" s="19">
        <f>G470/$G$110</f>
        <v>0.13026455026455028</v>
      </c>
      <c r="N471" s="3" t="s">
        <v>167</v>
      </c>
      <c r="O471" s="31">
        <f>G482/$G$151</f>
        <v>1.2986442405288611E-2</v>
      </c>
    </row>
    <row r="472" spans="3:15" ht="18" x14ac:dyDescent="0.3">
      <c r="F472" s="3" t="s">
        <v>151</v>
      </c>
      <c r="G472" s="26">
        <f>($G$74*G468*(($G$110-G470)^2))+(($G$74*G465/$G$111)*((($G$107/2)-G470)^2))+(G469*(G470^3)/3)</f>
        <v>2.505008530587284</v>
      </c>
      <c r="N472" s="3" t="s">
        <v>168</v>
      </c>
      <c r="O472" s="31">
        <f>G483/$G$153</f>
        <v>1.8545775907559448E-2</v>
      </c>
    </row>
    <row r="473" spans="3:15" ht="18" x14ac:dyDescent="0.3">
      <c r="F473" s="3" t="s">
        <v>186</v>
      </c>
      <c r="G473" s="26">
        <f>IF(($G$118*0.9)&lt;$G$137,0.75*$G$136,G472)</f>
        <v>100.19999999999999</v>
      </c>
      <c r="N473" s="3" t="s">
        <v>169</v>
      </c>
      <c r="O473" s="16" t="str">
        <f>IF(G467&gt;=8,"OK","Recheck")</f>
        <v>OK</v>
      </c>
    </row>
    <row r="474" spans="3:15" ht="17.25" x14ac:dyDescent="0.3">
      <c r="F474" s="3" t="s">
        <v>146</v>
      </c>
      <c r="G474" s="18">
        <f>((3.1415^2)*($G$72*G473)/($G$105^2))</f>
        <v>75109.941472981751</v>
      </c>
      <c r="N474" s="3"/>
      <c r="O474" s="18"/>
    </row>
    <row r="475" spans="3:15" x14ac:dyDescent="0.2">
      <c r="F475" s="3" t="s">
        <v>148</v>
      </c>
      <c r="G475" s="7">
        <f>1/(1-(G466/G474))</f>
        <v>1.0037042609230089</v>
      </c>
    </row>
    <row r="476" spans="3:15" ht="17.25" x14ac:dyDescent="0.3">
      <c r="F476" s="3" t="s">
        <v>152</v>
      </c>
      <c r="G476" s="18">
        <f>G475*$G$118</f>
        <v>2345.7197972609019</v>
      </c>
      <c r="N476" s="28" t="s">
        <v>181</v>
      </c>
      <c r="O476" s="1" t="str">
        <f>IF(OR(O469&gt;1,O470&gt;1,O471&gt;1,O472&gt;1),"Redesign","OK")</f>
        <v>OK</v>
      </c>
    </row>
    <row r="477" spans="3:15" x14ac:dyDescent="0.2">
      <c r="F477" s="3" t="s">
        <v>24</v>
      </c>
      <c r="G477" s="7">
        <f>((G468*$G$111)+(G465/0.9))/(0.8*$G$112*G469)</f>
        <v>0.26721340388007053</v>
      </c>
    </row>
    <row r="478" spans="3:15" ht="17.25" x14ac:dyDescent="0.3">
      <c r="F478" s="3" t="s">
        <v>153</v>
      </c>
      <c r="G478" s="18">
        <f>((G465/0.9)+(G468*$G$111))*($G$110-(G477/2))</f>
        <v>3607.814431902802</v>
      </c>
    </row>
    <row r="479" spans="3:15" x14ac:dyDescent="0.2">
      <c r="C479" s="1" t="s">
        <v>143</v>
      </c>
    </row>
    <row r="480" spans="3:15" ht="17.25" x14ac:dyDescent="0.3">
      <c r="F480" s="3" t="s">
        <v>145</v>
      </c>
      <c r="G480" s="18">
        <f>($G$39*(G467/12))*($G$104/2)</f>
        <v>584.26567679999994</v>
      </c>
    </row>
    <row r="481" spans="2:15" x14ac:dyDescent="0.2">
      <c r="C481" s="1" t="s">
        <v>147</v>
      </c>
      <c r="F481" s="3"/>
      <c r="G481" s="18"/>
    </row>
    <row r="482" spans="2:15" ht="17.25" x14ac:dyDescent="0.3">
      <c r="F482" s="3" t="s">
        <v>119</v>
      </c>
      <c r="G482" s="27">
        <f>(IF($G$138&lt;$G$137,(5*$G$138*$G$105*$G$105)/(48*$G$72*$G$136),(5*$G$137*$G$105*$G$105)/(48*$G$72*$G$136)+(5*($G$138-$G$137)*$G$105*$G$105)/(48*$G$72*G472)))*G475</f>
        <v>1.309033394453092E-2</v>
      </c>
    </row>
    <row r="483" spans="2:15" ht="17.25" x14ac:dyDescent="0.3">
      <c r="F483" s="3" t="s">
        <v>120</v>
      </c>
      <c r="G483" s="27">
        <f>((5*(($G$6*$G$105^2/8)/12)*($G$105^2))/(48*$G$72*$G$136))*G475</f>
        <v>1.1127465544535668E-2</v>
      </c>
    </row>
    <row r="485" spans="2:15" x14ac:dyDescent="0.2">
      <c r="B485" s="1" t="s">
        <v>205</v>
      </c>
    </row>
    <row r="486" spans="2:15" x14ac:dyDescent="0.2">
      <c r="C486" s="1" t="s">
        <v>142</v>
      </c>
    </row>
    <row r="487" spans="2:15" x14ac:dyDescent="0.2">
      <c r="F487" s="3" t="s">
        <v>99</v>
      </c>
      <c r="G487" s="18">
        <f>$G$119</f>
        <v>132.08000000000001</v>
      </c>
    </row>
    <row r="488" spans="2:15" x14ac:dyDescent="0.2">
      <c r="F488" s="3" t="s">
        <v>100</v>
      </c>
      <c r="G488" s="18">
        <f>$G$444</f>
        <v>277.2</v>
      </c>
    </row>
    <row r="489" spans="2:15" x14ac:dyDescent="0.2">
      <c r="F489" s="3" t="s">
        <v>182</v>
      </c>
      <c r="G489" s="23">
        <f>IF(O476="Redesign",O467-8,O467)</f>
        <v>120</v>
      </c>
      <c r="N489" s="3" t="s">
        <v>163</v>
      </c>
      <c r="O489" s="23">
        <f>G489</f>
        <v>120</v>
      </c>
    </row>
    <row r="490" spans="2:15" ht="16.5" x14ac:dyDescent="0.2">
      <c r="F490" s="3" t="s">
        <v>139</v>
      </c>
      <c r="G490" s="19">
        <f>$G$109/(G489/12)</f>
        <v>0.02</v>
      </c>
      <c r="N490" s="3" t="s">
        <v>164</v>
      </c>
      <c r="O490" s="6" t="str">
        <f>IF(G493&lt;=0.333,"OK","Increase Assembly Compressive Strength")</f>
        <v>OK</v>
      </c>
    </row>
    <row r="491" spans="2:15" x14ac:dyDescent="0.2">
      <c r="F491" s="3" t="s">
        <v>138</v>
      </c>
      <c r="G491" s="6">
        <f>IF(G489&gt;6*$G$106,(6*$G$106)/(G489/12),6*$G$106)</f>
        <v>3.6</v>
      </c>
      <c r="N491" s="3" t="s">
        <v>165</v>
      </c>
      <c r="O491" s="31">
        <f>G498/G500</f>
        <v>0.65017750816627862</v>
      </c>
    </row>
    <row r="492" spans="2:15" x14ac:dyDescent="0.2">
      <c r="F492" s="3" t="s">
        <v>25</v>
      </c>
      <c r="G492" s="19">
        <f>IF(G489&gt;6*$G$106,((G490*$G$111)+G488)/(0.64*$G$112*G491),((G490*$G$111)+G488)/(0.64*$G$112*12))</f>
        <v>0.36636904761904765</v>
      </c>
      <c r="N492" s="3" t="s">
        <v>166</v>
      </c>
      <c r="O492" s="31">
        <f>G502/$G$147</f>
        <v>0.33239020787790313</v>
      </c>
    </row>
    <row r="493" spans="2:15" ht="17.25" x14ac:dyDescent="0.3">
      <c r="F493" s="3" t="s">
        <v>140</v>
      </c>
      <c r="G493" s="19">
        <f>G492/$G$110</f>
        <v>0.13026455026455028</v>
      </c>
      <c r="N493" s="3" t="s">
        <v>167</v>
      </c>
      <c r="O493" s="31">
        <f>G504/$G$151</f>
        <v>1.2986442405288611E-2</v>
      </c>
    </row>
    <row r="494" spans="2:15" ht="18" x14ac:dyDescent="0.3">
      <c r="F494" s="3" t="s">
        <v>151</v>
      </c>
      <c r="G494" s="26">
        <f>($G$74*G490*(($G$110-G492)^2))+(($G$74*G487/$G$111)*((($G$107/2)-G492)^2))+(G491*(G492^3)/3)</f>
        <v>2.505008530587284</v>
      </c>
      <c r="N494" s="3" t="s">
        <v>168</v>
      </c>
      <c r="O494" s="31">
        <f>G505/$G$153</f>
        <v>1.8545775907559448E-2</v>
      </c>
    </row>
    <row r="495" spans="2:15" ht="18" x14ac:dyDescent="0.3">
      <c r="F495" s="3" t="s">
        <v>186</v>
      </c>
      <c r="G495" s="26">
        <f>IF(($G$118*0.9)&lt;$G$137,0.75*$G$136,G494)</f>
        <v>100.19999999999999</v>
      </c>
      <c r="N495" s="3" t="s">
        <v>169</v>
      </c>
      <c r="O495" s="16" t="str">
        <f>IF(G489&gt;=8,"OK","Recheck")</f>
        <v>OK</v>
      </c>
    </row>
    <row r="496" spans="2:15" ht="17.25" x14ac:dyDescent="0.3">
      <c r="F496" s="3" t="s">
        <v>146</v>
      </c>
      <c r="G496" s="18">
        <f>((3.1415^2)*($G$72*G495)/($G$105^2))</f>
        <v>75109.941472981751</v>
      </c>
      <c r="N496" s="3"/>
      <c r="O496" s="18"/>
    </row>
    <row r="497" spans="2:15" x14ac:dyDescent="0.2">
      <c r="F497" s="3" t="s">
        <v>148</v>
      </c>
      <c r="G497" s="7">
        <f>1/(1-(G488/G496))</f>
        <v>1.0037042609230089</v>
      </c>
    </row>
    <row r="498" spans="2:15" ht="17.25" x14ac:dyDescent="0.3">
      <c r="F498" s="3" t="s">
        <v>152</v>
      </c>
      <c r="G498" s="18">
        <f>G497*$G$118</f>
        <v>2345.7197972609019</v>
      </c>
      <c r="N498" s="28" t="s">
        <v>181</v>
      </c>
      <c r="O498" s="1" t="str">
        <f>IF(OR(O491&gt;1,O492&gt;1,O493&gt;1,O494&gt;1),"Redesign","OK")</f>
        <v>OK</v>
      </c>
    </row>
    <row r="499" spans="2:15" x14ac:dyDescent="0.2">
      <c r="F499" s="3" t="s">
        <v>24</v>
      </c>
      <c r="G499" s="7">
        <f>((G490*$G$111)+(G487/0.9))/(0.8*$G$112*G491)</f>
        <v>0.26721340388007053</v>
      </c>
    </row>
    <row r="500" spans="2:15" ht="17.25" x14ac:dyDescent="0.3">
      <c r="F500" s="3" t="s">
        <v>153</v>
      </c>
      <c r="G500" s="18">
        <f>((G487/0.9)+(G490*$G$111))*($G$110-(G499/2))</f>
        <v>3607.814431902802</v>
      </c>
    </row>
    <row r="501" spans="2:15" x14ac:dyDescent="0.2">
      <c r="C501" s="1" t="s">
        <v>143</v>
      </c>
    </row>
    <row r="502" spans="2:15" ht="17.25" x14ac:dyDescent="0.3">
      <c r="F502" s="3" t="s">
        <v>145</v>
      </c>
      <c r="G502" s="18">
        <f>($G$39*(G489/12))*($G$104/2)</f>
        <v>584.26567679999994</v>
      </c>
    </row>
    <row r="503" spans="2:15" x14ac:dyDescent="0.2">
      <c r="C503" s="1" t="s">
        <v>147</v>
      </c>
      <c r="F503" s="3"/>
      <c r="G503" s="18"/>
    </row>
    <row r="504" spans="2:15" ht="17.25" x14ac:dyDescent="0.3">
      <c r="F504" s="3" t="s">
        <v>119</v>
      </c>
      <c r="G504" s="27">
        <f>(IF($G$138&lt;$G$137,(5*$G$138*$G$105*$G$105)/(48*$G$72*$G$136),(5*$G$137*$G$105*$G$105)/(48*$G$72*$G$136)+(5*($G$138-$G$137)*$G$105*$G$105)/(48*$G$72*G494)))*G497</f>
        <v>1.309033394453092E-2</v>
      </c>
    </row>
    <row r="505" spans="2:15" ht="17.25" x14ac:dyDescent="0.3">
      <c r="F505" s="3" t="s">
        <v>120</v>
      </c>
      <c r="G505" s="27">
        <f>((5*(($G$6*$G$105^2/8)/12)*($G$105^2))/(48*$G$72*$G$136))*G497</f>
        <v>1.1127465544535668E-2</v>
      </c>
    </row>
    <row r="507" spans="2:15" x14ac:dyDescent="0.2">
      <c r="B507" s="1" t="s">
        <v>206</v>
      </c>
    </row>
    <row r="508" spans="2:15" x14ac:dyDescent="0.2">
      <c r="C508" s="1" t="s">
        <v>142</v>
      </c>
    </row>
    <row r="509" spans="2:15" x14ac:dyDescent="0.2">
      <c r="F509" s="3" t="s">
        <v>99</v>
      </c>
      <c r="G509" s="18">
        <f>$G$119</f>
        <v>132.08000000000001</v>
      </c>
    </row>
    <row r="510" spans="2:15" x14ac:dyDescent="0.2">
      <c r="F510" s="3" t="s">
        <v>100</v>
      </c>
      <c r="G510" s="18">
        <f>$G$444</f>
        <v>277.2</v>
      </c>
    </row>
    <row r="511" spans="2:15" x14ac:dyDescent="0.2">
      <c r="F511" s="3" t="s">
        <v>182</v>
      </c>
      <c r="G511" s="23">
        <f>IF(O498="Redesign",O489-8,O489)</f>
        <v>120</v>
      </c>
      <c r="N511" s="3" t="s">
        <v>163</v>
      </c>
      <c r="O511" s="23">
        <f>G511</f>
        <v>120</v>
      </c>
    </row>
    <row r="512" spans="2:15" ht="16.5" x14ac:dyDescent="0.2">
      <c r="F512" s="3" t="s">
        <v>139</v>
      </c>
      <c r="G512" s="19">
        <f>$G$109/(G511/12)</f>
        <v>0.02</v>
      </c>
      <c r="N512" s="3" t="s">
        <v>164</v>
      </c>
      <c r="O512" s="6" t="str">
        <f>IF(G515&lt;=0.333,"OK","Increase Assembly Compressive Strength")</f>
        <v>OK</v>
      </c>
    </row>
    <row r="513" spans="3:15" x14ac:dyDescent="0.2">
      <c r="F513" s="3" t="s">
        <v>138</v>
      </c>
      <c r="G513" s="6">
        <f>IF(G511&gt;6*$G$106,(6*$G$106)/(G511/12),6*$G$106)</f>
        <v>3.6</v>
      </c>
      <c r="N513" s="3" t="s">
        <v>165</v>
      </c>
      <c r="O513" s="31">
        <f>G520/G522</f>
        <v>0.65017750816627862</v>
      </c>
    </row>
    <row r="514" spans="3:15" x14ac:dyDescent="0.2">
      <c r="F514" s="3" t="s">
        <v>25</v>
      </c>
      <c r="G514" s="19">
        <f>IF(G511&gt;6*$G$106,((G512*$G$111)+G510)/(0.64*$G$112*G513),((G512*$G$111)+G510)/(0.64*$G$112*12))</f>
        <v>0.36636904761904765</v>
      </c>
      <c r="N514" s="3" t="s">
        <v>166</v>
      </c>
      <c r="O514" s="31">
        <f>G524/$G$147</f>
        <v>0.33239020787790313</v>
      </c>
    </row>
    <row r="515" spans="3:15" ht="17.25" x14ac:dyDescent="0.3">
      <c r="F515" s="3" t="s">
        <v>140</v>
      </c>
      <c r="G515" s="19">
        <f>G514/$G$110</f>
        <v>0.13026455026455028</v>
      </c>
      <c r="N515" s="3" t="s">
        <v>167</v>
      </c>
      <c r="O515" s="31">
        <f>G526/$G$151</f>
        <v>1.2986442405288611E-2</v>
      </c>
    </row>
    <row r="516" spans="3:15" ht="18" x14ac:dyDescent="0.3">
      <c r="F516" s="3" t="s">
        <v>151</v>
      </c>
      <c r="G516" s="26">
        <f>($G$74*G512*(($G$110-G514)^2))+(($G$74*G509/$G$111)*((($G$107/2)-G514)^2))+(G513*(G514^3)/3)</f>
        <v>2.505008530587284</v>
      </c>
      <c r="N516" s="3" t="s">
        <v>168</v>
      </c>
      <c r="O516" s="31">
        <f>G527/$G$153</f>
        <v>1.8545775907559448E-2</v>
      </c>
    </row>
    <row r="517" spans="3:15" ht="18" x14ac:dyDescent="0.3">
      <c r="F517" s="3" t="s">
        <v>186</v>
      </c>
      <c r="G517" s="26">
        <f>IF(($G$118*0.9)&lt;$G$137,0.75*$G$136,G516)</f>
        <v>100.19999999999999</v>
      </c>
      <c r="N517" s="3" t="s">
        <v>169</v>
      </c>
      <c r="O517" s="16" t="str">
        <f>IF(G511&gt;=8,"OK","Recheck")</f>
        <v>OK</v>
      </c>
    </row>
    <row r="518" spans="3:15" ht="17.25" x14ac:dyDescent="0.3">
      <c r="F518" s="3" t="s">
        <v>146</v>
      </c>
      <c r="G518" s="18">
        <f>((3.1415^2)*($G$72*G517)/($G$105^2))</f>
        <v>75109.941472981751</v>
      </c>
      <c r="N518" s="3"/>
      <c r="O518" s="18"/>
    </row>
    <row r="519" spans="3:15" x14ac:dyDescent="0.2">
      <c r="F519" s="3" t="s">
        <v>148</v>
      </c>
      <c r="G519" s="7">
        <f>1/(1-(G510/G518))</f>
        <v>1.0037042609230089</v>
      </c>
    </row>
    <row r="520" spans="3:15" ht="17.25" x14ac:dyDescent="0.3">
      <c r="F520" s="3" t="s">
        <v>152</v>
      </c>
      <c r="G520" s="18">
        <f>G519*$G$118</f>
        <v>2345.7197972609019</v>
      </c>
      <c r="N520" s="28" t="s">
        <v>181</v>
      </c>
      <c r="O520" s="1" t="str">
        <f>IF(OR(O513&gt;1,O514&gt;1,O515&gt;1,O516&gt;1),"Redesign","OK")</f>
        <v>OK</v>
      </c>
    </row>
    <row r="521" spans="3:15" x14ac:dyDescent="0.2">
      <c r="F521" s="3" t="s">
        <v>24</v>
      </c>
      <c r="G521" s="7">
        <f>((G512*$G$111)+(G509/0.9))/(0.8*$G$112*G513)</f>
        <v>0.26721340388007053</v>
      </c>
    </row>
    <row r="522" spans="3:15" ht="17.25" x14ac:dyDescent="0.3">
      <c r="F522" s="3" t="s">
        <v>153</v>
      </c>
      <c r="G522" s="18">
        <f>((G509/0.9)+(G512*$G$111))*($G$110-(G521/2))</f>
        <v>3607.814431902802</v>
      </c>
      <c r="N522" s="3" t="s">
        <v>207</v>
      </c>
      <c r="O522" s="16">
        <f>IF(AND(G32="D",O511&gt;48),48,O511)</f>
        <v>120</v>
      </c>
    </row>
    <row r="523" spans="3:15" x14ac:dyDescent="0.2">
      <c r="C523" s="1" t="s">
        <v>143</v>
      </c>
    </row>
    <row r="524" spans="3:15" ht="17.25" x14ac:dyDescent="0.3">
      <c r="F524" s="3" t="s">
        <v>145</v>
      </c>
      <c r="G524" s="18">
        <f>($G$39*(G511/12))*($G$104/2)</f>
        <v>584.26567679999994</v>
      </c>
    </row>
    <row r="525" spans="3:15" x14ac:dyDescent="0.2">
      <c r="C525" s="1" t="s">
        <v>147</v>
      </c>
      <c r="F525" s="3"/>
      <c r="G525" s="18"/>
    </row>
    <row r="526" spans="3:15" ht="17.25" x14ac:dyDescent="0.3">
      <c r="F526" s="3" t="s">
        <v>119</v>
      </c>
      <c r="G526" s="27">
        <f>(IF($G$138&lt;$G$137,(5*$G$138*$G$105*$G$105)/(48*$G$72*$G$136),(5*$G$137*$G$105*$G$105)/(48*$G$72*$G$136)+(5*($G$138-$G$137)*$G$105*$G$105)/(48*$G$72*G516)))*G519</f>
        <v>1.309033394453092E-2</v>
      </c>
    </row>
    <row r="527" spans="3:15" ht="17.25" x14ac:dyDescent="0.3">
      <c r="F527" s="3" t="s">
        <v>120</v>
      </c>
      <c r="G527" s="27">
        <f>((5*(($G$6*$G$105^2/8)/12)*($G$105^2))/(48*$G$72*$G$136))*G519</f>
        <v>1.1127465544535668E-2</v>
      </c>
    </row>
  </sheetData>
  <sheetProtection algorithmName="SHA-512" hashValue="WpU7fPWVNcILXp6dbS7bK0Wu1ZMDddwMvA0yu2hLRQkr8nqbQZwFbWuDGg9jR08MKRJ96X/JBC0ioraSpxom+Q==" saltValue="NJ0TD4NzrO5nIPDIKs0/8w==" spinCount="100000" sheet="1" objects="1" scenarios="1"/>
  <mergeCells count="37">
    <mergeCell ref="U146:U147"/>
    <mergeCell ref="V146:V147"/>
    <mergeCell ref="W146:W147"/>
    <mergeCell ref="S437:V437"/>
    <mergeCell ref="S438:S439"/>
    <mergeCell ref="T438:T439"/>
    <mergeCell ref="U438:U439"/>
    <mergeCell ref="V438:V439"/>
    <mergeCell ref="W438:W439"/>
    <mergeCell ref="S146:S147"/>
    <mergeCell ref="T146:T147"/>
    <mergeCell ref="O3:O4"/>
    <mergeCell ref="P2:P4"/>
    <mergeCell ref="R24:R25"/>
    <mergeCell ref="S24:S25"/>
    <mergeCell ref="P23:S23"/>
    <mergeCell ref="P24:P25"/>
    <mergeCell ref="Q24:Q25"/>
    <mergeCell ref="P88:Q89"/>
    <mergeCell ref="S134:S135"/>
    <mergeCell ref="T134:T135"/>
    <mergeCell ref="S104:S105"/>
    <mergeCell ref="T104:T105"/>
    <mergeCell ref="P90:P91"/>
    <mergeCell ref="Q90:Q91"/>
    <mergeCell ref="W134:W135"/>
    <mergeCell ref="X134:X135"/>
    <mergeCell ref="S132:T133"/>
    <mergeCell ref="W132:X133"/>
    <mergeCell ref="S145:V145"/>
    <mergeCell ref="T24:T25"/>
    <mergeCell ref="P35:S35"/>
    <mergeCell ref="P36:P37"/>
    <mergeCell ref="Q36:Q37"/>
    <mergeCell ref="R36:R37"/>
    <mergeCell ref="S36:S37"/>
    <mergeCell ref="T36:T37"/>
  </mergeCells>
  <pageMargins left="0.7" right="0.7" top="0.75" bottom="0.75" header="0.3" footer="0.3"/>
  <pageSetup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User Notes</vt:lpstr>
      <vt:lpstr>User Inputs and Report</vt:lpstr>
      <vt:lpstr>Design Checks</vt:lpstr>
      <vt:lpstr>'User Inputs and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Thompson</dc:creator>
  <cp:lastModifiedBy>Jason Thompson</cp:lastModifiedBy>
  <cp:lastPrinted>2026-05-25T12:39:22Z</cp:lastPrinted>
  <dcterms:created xsi:type="dcterms:W3CDTF">2024-09-25T14:33:14Z</dcterms:created>
  <dcterms:modified xsi:type="dcterms:W3CDTF">2026-05-25T12:39:28Z</dcterms:modified>
</cp:coreProperties>
</file>