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jason\My Drive\Consulting\Checkoff\Design Collective\Resources\Calculators\"/>
    </mc:Choice>
  </mc:AlternateContent>
  <xr:revisionPtr revIDLastSave="0" documentId="13_ncr:1_{AEDB98A6-F9AE-4E81-A38E-85B58A96352A}" xr6:coauthVersionLast="47" xr6:coauthVersionMax="47" xr10:uidLastSave="{00000000-0000-0000-0000-000000000000}"/>
  <bookViews>
    <workbookView xWindow="-120" yWindow="-120" windowWidth="38640" windowHeight="21120" tabRatio="782" xr2:uid="{00000000-000D-0000-FFFF-FFFF00000000}"/>
  </bookViews>
  <sheets>
    <sheet name="User Notes" sheetId="11" r:id="rId1"/>
    <sheet name="Inputs-Outputs" sheetId="12" r:id="rId2"/>
    <sheet name="Horizontal Section Properties" sheetId="14" r:id="rId3"/>
    <sheet name="Vertical Section Properties"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2" l="1"/>
  <c r="K4" i="12"/>
  <c r="K5" i="12"/>
  <c r="P2" i="14"/>
  <c r="P2" i="10"/>
  <c r="P16" i="10"/>
  <c r="O16" i="10"/>
  <c r="N16" i="10"/>
  <c r="P15" i="10"/>
  <c r="O15" i="10"/>
  <c r="N15" i="10"/>
  <c r="P14" i="10"/>
  <c r="O14" i="10"/>
  <c r="N14" i="10"/>
  <c r="P13" i="10"/>
  <c r="O13" i="10"/>
  <c r="N13" i="10"/>
  <c r="P12" i="10"/>
  <c r="O12" i="10"/>
  <c r="N12" i="10"/>
  <c r="P15" i="14"/>
  <c r="P14" i="14"/>
  <c r="P13" i="14"/>
  <c r="P12" i="14"/>
  <c r="P11" i="14"/>
  <c r="O15" i="14"/>
  <c r="O14" i="14"/>
  <c r="O13" i="14"/>
  <c r="O12" i="14"/>
  <c r="O11" i="14"/>
  <c r="N15" i="14"/>
  <c r="N14" i="14"/>
  <c r="N13" i="14"/>
  <c r="N12" i="14"/>
  <c r="N11" i="14"/>
  <c r="H35" i="12"/>
  <c r="H38" i="12" s="1"/>
  <c r="H36" i="12" l="1"/>
  <c r="H37" i="12"/>
  <c r="P1" i="10" l="1"/>
  <c r="P5" i="10" s="1"/>
  <c r="B8" i="14"/>
  <c r="B9" i="14" s="1"/>
  <c r="B10" i="14" s="1"/>
  <c r="B11" i="14" s="1"/>
  <c r="B12" i="14" s="1"/>
  <c r="B13" i="14" s="1"/>
  <c r="B14" i="14" s="1"/>
  <c r="B15" i="14" s="1"/>
  <c r="B16" i="14" s="1"/>
  <c r="B17" i="14" s="1"/>
  <c r="B18" i="14" s="1"/>
  <c r="B19" i="14" s="1"/>
  <c r="B20" i="14" s="1"/>
  <c r="B21" i="14" s="1"/>
  <c r="P1" i="14"/>
  <c r="P3" i="14" s="1"/>
  <c r="E7" i="14" s="1"/>
  <c r="P7" i="10"/>
  <c r="P6" i="10"/>
  <c r="K7" i="12"/>
  <c r="K13" i="12" s="1"/>
  <c r="I13" i="12"/>
  <c r="H12" i="12"/>
  <c r="K6" i="12"/>
  <c r="J13" i="12" s="1"/>
  <c r="H13" i="12"/>
  <c r="D17" i="12"/>
  <c r="B19" i="12"/>
  <c r="B8" i="10"/>
  <c r="B9" i="10" s="1"/>
  <c r="P4" i="14" l="1"/>
  <c r="E4" i="14" s="1"/>
  <c r="P3" i="10"/>
  <c r="P4" i="10"/>
  <c r="D4" i="10" s="1"/>
  <c r="D6" i="14"/>
  <c r="H7" i="14"/>
  <c r="F7" i="14"/>
  <c r="H6" i="14"/>
  <c r="I6" i="14"/>
  <c r="E6" i="14"/>
  <c r="I7" i="14"/>
  <c r="I18" i="12" s="1"/>
  <c r="D7" i="14"/>
  <c r="P5" i="14"/>
  <c r="D7" i="10"/>
  <c r="D6" i="10"/>
  <c r="H6" i="10" s="1"/>
  <c r="E17" i="12"/>
  <c r="G17" i="12" s="1"/>
  <c r="D31" i="12"/>
  <c r="D16" i="12"/>
  <c r="E16" i="12"/>
  <c r="F19" i="12"/>
  <c r="D19" i="12"/>
  <c r="D21" i="12"/>
  <c r="D23" i="12"/>
  <c r="D25" i="12"/>
  <c r="D27" i="12"/>
  <c r="D29" i="12"/>
  <c r="E19" i="12"/>
  <c r="D15" i="12"/>
  <c r="E15" i="12"/>
  <c r="B20" i="12"/>
  <c r="B21" i="12" s="1"/>
  <c r="D18" i="12"/>
  <c r="D20" i="12"/>
  <c r="D22" i="12"/>
  <c r="D24" i="12"/>
  <c r="D26" i="12"/>
  <c r="D28" i="12"/>
  <c r="D30" i="12"/>
  <c r="D32" i="12"/>
  <c r="E18" i="12"/>
  <c r="F18" i="12"/>
  <c r="B10" i="10"/>
  <c r="I17" i="12" l="1"/>
  <c r="H17" i="12"/>
  <c r="D5" i="10"/>
  <c r="H9" i="14"/>
  <c r="D4" i="14"/>
  <c r="E12" i="14"/>
  <c r="F12" i="14" s="1"/>
  <c r="H13" i="14"/>
  <c r="I16" i="14"/>
  <c r="J16" i="14" s="1"/>
  <c r="D21" i="14"/>
  <c r="D19" i="14"/>
  <c r="E8" i="14"/>
  <c r="H18" i="14"/>
  <c r="H10" i="14"/>
  <c r="E9" i="14"/>
  <c r="I20" i="12" s="1"/>
  <c r="I12" i="14"/>
  <c r="J12" i="14" s="1"/>
  <c r="D17" i="14"/>
  <c r="E17" i="14"/>
  <c r="I11" i="14"/>
  <c r="D8" i="14"/>
  <c r="I17" i="14"/>
  <c r="J17" i="14" s="1"/>
  <c r="I19" i="14"/>
  <c r="J19" i="14" s="1"/>
  <c r="I18" i="14"/>
  <c r="D18" i="14"/>
  <c r="I14" i="14"/>
  <c r="J14" i="14" s="1"/>
  <c r="E13" i="14"/>
  <c r="I8" i="14"/>
  <c r="J8" i="14" s="1"/>
  <c r="D11" i="14"/>
  <c r="E16" i="14"/>
  <c r="H21" i="14"/>
  <c r="I20" i="14"/>
  <c r="J20" i="14" s="1"/>
  <c r="E14" i="14"/>
  <c r="I25" i="12" s="1"/>
  <c r="I4" i="14"/>
  <c r="J4" i="14" s="1"/>
  <c r="H4" i="14"/>
  <c r="E5" i="14"/>
  <c r="I16" i="12" s="1"/>
  <c r="I21" i="14"/>
  <c r="J21" i="14" s="1"/>
  <c r="D12" i="14"/>
  <c r="H23" i="12" s="1"/>
  <c r="E10" i="14"/>
  <c r="H5" i="14"/>
  <c r="I10" i="14"/>
  <c r="D15" i="14"/>
  <c r="H16" i="14"/>
  <c r="D20" i="14"/>
  <c r="I5" i="14"/>
  <c r="J5" i="14" s="1"/>
  <c r="G7" i="14"/>
  <c r="H18" i="12"/>
  <c r="F6" i="14"/>
  <c r="G6" i="14"/>
  <c r="F4" i="14"/>
  <c r="D13" i="14"/>
  <c r="H17" i="14"/>
  <c r="H11" i="14"/>
  <c r="D16" i="14"/>
  <c r="H8" i="14"/>
  <c r="D10" i="14"/>
  <c r="H21" i="12" s="1"/>
  <c r="H19" i="14"/>
  <c r="D5" i="14"/>
  <c r="H20" i="14"/>
  <c r="H14" i="14"/>
  <c r="I15" i="14"/>
  <c r="I13" i="14"/>
  <c r="E11" i="14"/>
  <c r="E21" i="14"/>
  <c r="E20" i="14"/>
  <c r="D9" i="14"/>
  <c r="K7" i="14"/>
  <c r="J7" i="14"/>
  <c r="J18" i="12" s="1"/>
  <c r="K6" i="14"/>
  <c r="J6" i="14"/>
  <c r="I9" i="14"/>
  <c r="H12" i="14"/>
  <c r="E15" i="14"/>
  <c r="D14" i="14"/>
  <c r="E19" i="14"/>
  <c r="E18" i="14"/>
  <c r="I29" i="12" s="1"/>
  <c r="H15" i="14"/>
  <c r="H4" i="10"/>
  <c r="H8" i="10" s="1"/>
  <c r="D8" i="10"/>
  <c r="E5" i="10"/>
  <c r="G5" i="10" s="1"/>
  <c r="H5" i="10"/>
  <c r="I6" i="10"/>
  <c r="J6" i="10" s="1"/>
  <c r="E7" i="10"/>
  <c r="F7" i="10" s="1"/>
  <c r="I7" i="10"/>
  <c r="J7" i="10" s="1"/>
  <c r="E6" i="10"/>
  <c r="D9" i="10"/>
  <c r="E4" i="10"/>
  <c r="G4" i="10" s="1"/>
  <c r="H7" i="10"/>
  <c r="E20" i="12"/>
  <c r="G15" i="12"/>
  <c r="G18" i="12"/>
  <c r="G19" i="12"/>
  <c r="G16" i="12"/>
  <c r="F21" i="12"/>
  <c r="B22" i="12"/>
  <c r="E21" i="12"/>
  <c r="F20" i="12"/>
  <c r="B11" i="10"/>
  <c r="D10" i="10"/>
  <c r="H32" i="12" l="1"/>
  <c r="I19" i="12"/>
  <c r="H19" i="12"/>
  <c r="H28" i="12"/>
  <c r="I30" i="12"/>
  <c r="I21" i="12"/>
  <c r="L5" i="12" s="1"/>
  <c r="I24" i="12"/>
  <c r="I26" i="12"/>
  <c r="I28" i="12"/>
  <c r="H27" i="12"/>
  <c r="I23" i="12"/>
  <c r="H30" i="12"/>
  <c r="K17" i="12"/>
  <c r="H15" i="12"/>
  <c r="K18" i="12"/>
  <c r="J23" i="12"/>
  <c r="H29" i="12"/>
  <c r="J15" i="12"/>
  <c r="I31" i="12"/>
  <c r="I22" i="12"/>
  <c r="H31" i="12"/>
  <c r="I15" i="12"/>
  <c r="I27" i="12"/>
  <c r="H22" i="12"/>
  <c r="J17" i="12"/>
  <c r="I32" i="12"/>
  <c r="H26" i="12"/>
  <c r="K16" i="14"/>
  <c r="K10" i="14"/>
  <c r="G4" i="14"/>
  <c r="K18" i="14"/>
  <c r="K20" i="14"/>
  <c r="K11" i="14"/>
  <c r="F5" i="10"/>
  <c r="F8" i="14"/>
  <c r="J19" i="12" s="1"/>
  <c r="J10" i="14"/>
  <c r="J11" i="14"/>
  <c r="F5" i="14"/>
  <c r="J16" i="12" s="1"/>
  <c r="G12" i="14"/>
  <c r="G8" i="14"/>
  <c r="K5" i="14"/>
  <c r="K21" i="14"/>
  <c r="K4" i="14"/>
  <c r="K17" i="14"/>
  <c r="K12" i="14"/>
  <c r="F16" i="14"/>
  <c r="J27" i="12" s="1"/>
  <c r="G16" i="14"/>
  <c r="K14" i="14"/>
  <c r="K19" i="14"/>
  <c r="K8" i="14"/>
  <c r="J18" i="14"/>
  <c r="F10" i="14"/>
  <c r="G17" i="14"/>
  <c r="F17" i="14"/>
  <c r="J28" i="12" s="1"/>
  <c r="F14" i="14"/>
  <c r="J25" i="12" s="1"/>
  <c r="F13" i="14"/>
  <c r="F9" i="14"/>
  <c r="J20" i="12" s="1"/>
  <c r="H9" i="10"/>
  <c r="G5" i="14"/>
  <c r="H16" i="12"/>
  <c r="G10" i="14"/>
  <c r="G13" i="14"/>
  <c r="H24" i="12"/>
  <c r="G14" i="14"/>
  <c r="H25" i="12"/>
  <c r="G9" i="14"/>
  <c r="H20" i="12"/>
  <c r="G18" i="14"/>
  <c r="F18" i="14"/>
  <c r="G19" i="14"/>
  <c r="F19" i="14"/>
  <c r="J30" i="12" s="1"/>
  <c r="G15" i="14"/>
  <c r="F15" i="14"/>
  <c r="K9" i="14"/>
  <c r="J9" i="14"/>
  <c r="G20" i="14"/>
  <c r="F20" i="14"/>
  <c r="J31" i="12" s="1"/>
  <c r="G21" i="14"/>
  <c r="F21" i="14"/>
  <c r="J32" i="12" s="1"/>
  <c r="G11" i="14"/>
  <c r="K22" i="12" s="1"/>
  <c r="F11" i="14"/>
  <c r="K13" i="14"/>
  <c r="J13" i="14"/>
  <c r="K15" i="14"/>
  <c r="J15" i="14"/>
  <c r="H10" i="10"/>
  <c r="I5" i="10"/>
  <c r="J5" i="10" s="1"/>
  <c r="K7" i="10"/>
  <c r="E10" i="10"/>
  <c r="F10" i="10" s="1"/>
  <c r="G7" i="10"/>
  <c r="F6" i="10"/>
  <c r="G6" i="10"/>
  <c r="K6" i="10"/>
  <c r="F4" i="10"/>
  <c r="E9" i="10"/>
  <c r="I4" i="10"/>
  <c r="I11" i="10" s="1"/>
  <c r="E8" i="10"/>
  <c r="G20" i="12"/>
  <c r="G21" i="12"/>
  <c r="L8" i="12" s="1"/>
  <c r="B23" i="12"/>
  <c r="E22" i="12"/>
  <c r="F22" i="12"/>
  <c r="B12" i="10"/>
  <c r="D11" i="10"/>
  <c r="E11" i="10"/>
  <c r="H11" i="10"/>
  <c r="L4" i="12" l="1"/>
  <c r="K31" i="12"/>
  <c r="K30" i="12"/>
  <c r="J22" i="12"/>
  <c r="K24" i="12"/>
  <c r="K15" i="12"/>
  <c r="K27" i="12"/>
  <c r="K20" i="12"/>
  <c r="J29" i="12"/>
  <c r="K29" i="12"/>
  <c r="K25" i="12"/>
  <c r="K19" i="12"/>
  <c r="K32" i="12"/>
  <c r="K16" i="12"/>
  <c r="K28" i="12"/>
  <c r="K26" i="12"/>
  <c r="J21" i="12"/>
  <c r="L6" i="12" s="1"/>
  <c r="K21" i="12"/>
  <c r="L7" i="12" s="1"/>
  <c r="K23" i="12"/>
  <c r="J24" i="12"/>
  <c r="J26" i="12"/>
  <c r="G10" i="10"/>
  <c r="K5" i="10"/>
  <c r="F8" i="10"/>
  <c r="G8" i="10"/>
  <c r="G9" i="10"/>
  <c r="F9" i="10"/>
  <c r="I10" i="10"/>
  <c r="J4" i="10"/>
  <c r="K4" i="10"/>
  <c r="I9" i="10"/>
  <c r="I8" i="10"/>
  <c r="G22" i="12"/>
  <c r="B24" i="12"/>
  <c r="F23" i="12"/>
  <c r="E23" i="12"/>
  <c r="D12" i="10"/>
  <c r="B13" i="10"/>
  <c r="E12" i="10"/>
  <c r="H12" i="10"/>
  <c r="I12" i="10"/>
  <c r="J11" i="10"/>
  <c r="K11" i="10"/>
  <c r="G11" i="10"/>
  <c r="F11" i="10"/>
  <c r="G23" i="12" l="1"/>
  <c r="K8" i="10"/>
  <c r="J8" i="10"/>
  <c r="J9" i="10"/>
  <c r="K9" i="10"/>
  <c r="J10" i="10"/>
  <c r="K10" i="10"/>
  <c r="B25" i="12"/>
  <c r="F24" i="12"/>
  <c r="E24" i="12"/>
  <c r="F12" i="10"/>
  <c r="G12" i="10"/>
  <c r="E13" i="10"/>
  <c r="B14" i="10"/>
  <c r="D13" i="10"/>
  <c r="H13" i="10"/>
  <c r="I13" i="10"/>
  <c r="K12" i="10"/>
  <c r="J12" i="10"/>
  <c r="G24" i="12" l="1"/>
  <c r="F25" i="12"/>
  <c r="E25" i="12"/>
  <c r="B26" i="12"/>
  <c r="B15" i="10"/>
  <c r="E14" i="10"/>
  <c r="D14" i="10"/>
  <c r="I14" i="10"/>
  <c r="H14" i="10"/>
  <c r="J13" i="10"/>
  <c r="K13" i="10"/>
  <c r="G13" i="10"/>
  <c r="F13" i="10"/>
  <c r="G25" i="12" l="1"/>
  <c r="B27" i="12"/>
  <c r="E26" i="12"/>
  <c r="F26" i="12"/>
  <c r="B16" i="10"/>
  <c r="D15" i="10"/>
  <c r="E15" i="10"/>
  <c r="I15" i="10"/>
  <c r="H15" i="10"/>
  <c r="K14" i="10"/>
  <c r="J14" i="10"/>
  <c r="F14" i="10"/>
  <c r="G14" i="10"/>
  <c r="G26" i="12" l="1"/>
  <c r="F27" i="12"/>
  <c r="B28" i="12"/>
  <c r="E27" i="12"/>
  <c r="J15" i="10"/>
  <c r="K15" i="10"/>
  <c r="G15" i="10"/>
  <c r="F15" i="10"/>
  <c r="D16" i="10"/>
  <c r="E16" i="10"/>
  <c r="B17" i="10"/>
  <c r="I16" i="10"/>
  <c r="H16" i="10"/>
  <c r="G27" i="12" l="1"/>
  <c r="B29" i="12"/>
  <c r="F28" i="12"/>
  <c r="E28" i="12"/>
  <c r="K16" i="10"/>
  <c r="J16" i="10"/>
  <c r="E17" i="10"/>
  <c r="B18" i="10"/>
  <c r="D17" i="10"/>
  <c r="H17" i="10"/>
  <c r="I17" i="10"/>
  <c r="F16" i="10"/>
  <c r="G16" i="10"/>
  <c r="G28" i="12" l="1"/>
  <c r="F29" i="12"/>
  <c r="E29" i="12"/>
  <c r="B30" i="12"/>
  <c r="B19" i="10"/>
  <c r="E18" i="10"/>
  <c r="D18" i="10"/>
  <c r="H18" i="10"/>
  <c r="I18" i="10"/>
  <c r="J17" i="10"/>
  <c r="K17" i="10"/>
  <c r="G17" i="10"/>
  <c r="F17" i="10"/>
  <c r="G29" i="12" l="1"/>
  <c r="B31" i="12"/>
  <c r="F30" i="12"/>
  <c r="E30" i="12"/>
  <c r="F18" i="10"/>
  <c r="G18" i="10"/>
  <c r="K18" i="10"/>
  <c r="J18" i="10"/>
  <c r="B20" i="10"/>
  <c r="D19" i="10"/>
  <c r="E19" i="10"/>
  <c r="H19" i="10"/>
  <c r="I19" i="10"/>
  <c r="G30" i="12" l="1"/>
  <c r="F31" i="12"/>
  <c r="B32" i="12"/>
  <c r="E31" i="12"/>
  <c r="G19" i="10"/>
  <c r="F19" i="10"/>
  <c r="J19" i="10"/>
  <c r="K19" i="10"/>
  <c r="D20" i="10"/>
  <c r="B21" i="10"/>
  <c r="E20" i="10"/>
  <c r="I20" i="10"/>
  <c r="H20" i="10"/>
  <c r="G31" i="12" l="1"/>
  <c r="F32" i="12"/>
  <c r="E32" i="12"/>
  <c r="K20" i="10"/>
  <c r="J20" i="10"/>
  <c r="F20" i="10"/>
  <c r="G20" i="10"/>
  <c r="E21" i="10"/>
  <c r="D21" i="10"/>
  <c r="H21" i="10"/>
  <c r="I21" i="10"/>
  <c r="G32" i="12" l="1"/>
  <c r="G21" i="10"/>
  <c r="F21" i="10"/>
  <c r="J21" i="10"/>
  <c r="K21" i="10"/>
</calcChain>
</file>

<file path=xl/sharedStrings.xml><?xml version="1.0" encoding="utf-8"?>
<sst xmlns="http://schemas.openxmlformats.org/spreadsheetml/2006/main" count="212" uniqueCount="62">
  <si>
    <t>in.</t>
  </si>
  <si>
    <t>Hollow</t>
  </si>
  <si>
    <t>No Grout</t>
  </si>
  <si>
    <t>Full</t>
  </si>
  <si>
    <t>Solid</t>
  </si>
  <si>
    <t>Grout Spacing (in.)</t>
  </si>
  <si>
    <t>Mortar Bedding</t>
  </si>
  <si>
    <t>Unit Config</t>
  </si>
  <si>
    <t>Bond Beam  Spacing (in.)</t>
  </si>
  <si>
    <t>Unit Configuration:</t>
  </si>
  <si>
    <t>Mortar Bedding:</t>
  </si>
  <si>
    <t>Nominal Unit Width (in.)=</t>
  </si>
  <si>
    <t>Grout Spacing (in.) =</t>
  </si>
  <si>
    <t>Net or Average Section Properties:</t>
  </si>
  <si>
    <t>Vertical or Horizontal Spanning Masonry:</t>
  </si>
  <si>
    <t>Horizontal</t>
  </si>
  <si>
    <r>
      <t>t</t>
    </r>
    <r>
      <rPr>
        <vertAlign val="subscript"/>
        <sz val="11"/>
        <rFont val="Cambria"/>
        <family val="1"/>
      </rPr>
      <t>fs</t>
    </r>
  </si>
  <si>
    <r>
      <t>t</t>
    </r>
    <r>
      <rPr>
        <vertAlign val="subscript"/>
        <sz val="11"/>
        <rFont val="Cambria"/>
        <family val="1"/>
      </rPr>
      <t>web</t>
    </r>
  </si>
  <si>
    <r>
      <t>Block Vol. (ft</t>
    </r>
    <r>
      <rPr>
        <vertAlign val="superscript"/>
        <sz val="12"/>
        <rFont val="Cambria"/>
        <family val="1"/>
      </rPr>
      <t>3</t>
    </r>
    <r>
      <rPr>
        <sz val="12"/>
        <rFont val="Cambria"/>
        <family val="1"/>
      </rPr>
      <t>/ft</t>
    </r>
    <r>
      <rPr>
        <vertAlign val="superscript"/>
        <sz val="12"/>
        <rFont val="Cambria"/>
        <family val="1"/>
      </rPr>
      <t>2</t>
    </r>
    <r>
      <rPr>
        <sz val="12"/>
        <rFont val="Cambria"/>
        <family val="1"/>
      </rPr>
      <t>)</t>
    </r>
  </si>
  <si>
    <r>
      <t>Mortar Wt. (lb/ft</t>
    </r>
    <r>
      <rPr>
        <vertAlign val="superscript"/>
        <sz val="12"/>
        <rFont val="Cambria"/>
        <family val="1"/>
      </rPr>
      <t>2</t>
    </r>
    <r>
      <rPr>
        <sz val="12"/>
        <rFont val="Cambria"/>
        <family val="1"/>
      </rPr>
      <t>)</t>
    </r>
  </si>
  <si>
    <r>
      <t>Grout Wt. (lb/ft</t>
    </r>
    <r>
      <rPr>
        <vertAlign val="superscript"/>
        <sz val="12"/>
        <rFont val="Cambria"/>
        <family val="1"/>
      </rPr>
      <t>2</t>
    </r>
    <r>
      <rPr>
        <sz val="12"/>
        <rFont val="Cambria"/>
        <family val="1"/>
      </rPr>
      <t>)</t>
    </r>
  </si>
  <si>
    <r>
      <t>CMU Density (lb/ft</t>
    </r>
    <r>
      <rPr>
        <vertAlign val="superscript"/>
        <sz val="12"/>
        <rFont val="Cambria"/>
        <family val="1"/>
      </rPr>
      <t>3</t>
    </r>
    <r>
      <rPr>
        <sz val="12"/>
        <rFont val="Cambria"/>
        <family val="1"/>
      </rPr>
      <t>) =</t>
    </r>
  </si>
  <si>
    <t>THICKNESSES</t>
  </si>
  <si>
    <t>Unit Configuration</t>
  </si>
  <si>
    <r>
      <t>Wall Weight (lb/ft</t>
    </r>
    <r>
      <rPr>
        <vertAlign val="superscript"/>
        <sz val="12"/>
        <rFont val="Cambria"/>
        <family val="1"/>
      </rPr>
      <t>2</t>
    </r>
    <r>
      <rPr>
        <sz val="12"/>
        <rFont val="Cambria"/>
        <family val="1"/>
      </rPr>
      <t>)</t>
    </r>
  </si>
  <si>
    <r>
      <t>in.</t>
    </r>
    <r>
      <rPr>
        <vertAlign val="superscript"/>
        <sz val="11"/>
        <rFont val="Cambria"/>
        <family val="1"/>
      </rPr>
      <t>2</t>
    </r>
    <r>
      <rPr>
        <sz val="11"/>
        <rFont val="Cambria"/>
        <family val="1"/>
      </rPr>
      <t>/ft</t>
    </r>
  </si>
  <si>
    <r>
      <t>in.</t>
    </r>
    <r>
      <rPr>
        <vertAlign val="superscript"/>
        <sz val="11"/>
        <rFont val="Cambria"/>
        <family val="1"/>
      </rPr>
      <t>4</t>
    </r>
    <r>
      <rPr>
        <sz val="11"/>
        <rFont val="Cambria"/>
        <family val="1"/>
      </rPr>
      <t>/ft</t>
    </r>
  </si>
  <si>
    <r>
      <t>lb/ft</t>
    </r>
    <r>
      <rPr>
        <vertAlign val="superscript"/>
        <sz val="11"/>
        <rFont val="Cambria"/>
        <family val="1"/>
      </rPr>
      <t>2</t>
    </r>
  </si>
  <si>
    <r>
      <t>in.</t>
    </r>
    <r>
      <rPr>
        <vertAlign val="superscript"/>
        <sz val="11"/>
        <rFont val="Cambria"/>
        <family val="1"/>
      </rPr>
      <t>3</t>
    </r>
    <r>
      <rPr>
        <sz val="11"/>
        <rFont val="Cambria"/>
        <family val="1"/>
      </rPr>
      <t>/ft</t>
    </r>
  </si>
  <si>
    <t>Wall Weight</t>
  </si>
  <si>
    <t>Nominal Unit Width</t>
  </si>
  <si>
    <t xml:space="preserve">Nominal Unit Width (in.) = </t>
  </si>
  <si>
    <t>Mortar Joint Thickness (in.) =</t>
  </si>
  <si>
    <t>Specified Unit Width (in.) =</t>
  </si>
  <si>
    <r>
      <t>Specified Face Shell Thickness, t</t>
    </r>
    <r>
      <rPr>
        <vertAlign val="subscript"/>
        <sz val="12"/>
        <rFont val="Cambria"/>
        <family val="1"/>
        <scheme val="major"/>
      </rPr>
      <t>fs</t>
    </r>
    <r>
      <rPr>
        <sz val="12"/>
        <rFont val="Cambria"/>
        <family val="1"/>
        <scheme val="major"/>
      </rPr>
      <t xml:space="preserve"> (in.) =</t>
    </r>
  </si>
  <si>
    <r>
      <t>Specified Web Thickness, t</t>
    </r>
    <r>
      <rPr>
        <vertAlign val="subscript"/>
        <sz val="12"/>
        <rFont val="Cambria"/>
        <family val="1"/>
        <scheme val="major"/>
      </rPr>
      <t>web</t>
    </r>
    <r>
      <rPr>
        <sz val="12"/>
        <rFont val="Cambria"/>
        <family val="1"/>
        <scheme val="major"/>
      </rPr>
      <t xml:space="preserve"> (in.) =</t>
    </r>
  </si>
  <si>
    <t xml:space="preserve">Specified Length (in.) = </t>
  </si>
  <si>
    <t xml:space="preserve">Specified Height (in.) = </t>
  </si>
  <si>
    <t>Net Cross-Sectional Properties</t>
  </si>
  <si>
    <t>Average Cross-Sectional Properties</t>
  </si>
  <si>
    <t>Face Shell</t>
  </si>
  <si>
    <r>
      <t>Mortar density (lb/ft</t>
    </r>
    <r>
      <rPr>
        <vertAlign val="superscript"/>
        <sz val="12"/>
        <rFont val="Cambria"/>
        <family val="1"/>
      </rPr>
      <t>3</t>
    </r>
    <r>
      <rPr>
        <sz val="12"/>
        <rFont val="Cambria"/>
        <family val="1"/>
      </rPr>
      <t xml:space="preserve">) = </t>
    </r>
  </si>
  <si>
    <r>
      <t>t</t>
    </r>
    <r>
      <rPr>
        <i/>
        <vertAlign val="subscript"/>
        <sz val="11"/>
        <rFont val="Cambria"/>
        <family val="1"/>
      </rPr>
      <t>fs</t>
    </r>
  </si>
  <si>
    <r>
      <t>t</t>
    </r>
    <r>
      <rPr>
        <i/>
        <vertAlign val="subscript"/>
        <sz val="11"/>
        <rFont val="Cambria"/>
        <family val="1"/>
      </rPr>
      <t>web</t>
    </r>
  </si>
  <si>
    <r>
      <t xml:space="preserve">Specified Face Shell Thickness, </t>
    </r>
    <r>
      <rPr>
        <i/>
        <sz val="12"/>
        <rFont val="Cambria"/>
        <family val="1"/>
        <scheme val="major"/>
      </rPr>
      <t>t</t>
    </r>
    <r>
      <rPr>
        <i/>
        <vertAlign val="subscript"/>
        <sz val="12"/>
        <rFont val="Cambria"/>
        <family val="1"/>
        <scheme val="major"/>
      </rPr>
      <t>fs</t>
    </r>
    <r>
      <rPr>
        <sz val="12"/>
        <rFont val="Cambria"/>
        <family val="1"/>
        <scheme val="major"/>
      </rPr>
      <t xml:space="preserve"> (in.) =</t>
    </r>
  </si>
  <si>
    <r>
      <t xml:space="preserve">Specified Web Thickness, </t>
    </r>
    <r>
      <rPr>
        <i/>
        <sz val="12"/>
        <rFont val="Cambria"/>
        <family val="1"/>
        <scheme val="major"/>
      </rPr>
      <t>t</t>
    </r>
    <r>
      <rPr>
        <i/>
        <vertAlign val="subscript"/>
        <sz val="12"/>
        <rFont val="Cambria"/>
        <family val="1"/>
        <scheme val="major"/>
      </rPr>
      <t>web</t>
    </r>
    <r>
      <rPr>
        <sz val="12"/>
        <rFont val="Cambria"/>
        <family val="1"/>
        <scheme val="major"/>
      </rPr>
      <t xml:space="preserve"> (in.) =</t>
    </r>
  </si>
  <si>
    <t>Horizontal Section Properties</t>
  </si>
  <si>
    <t>Vertical Section Properties</t>
  </si>
  <si>
    <t>Block Design Collective - Section Properties and Wall Weights Calculator</t>
  </si>
  <si>
    <t xml:space="preserve">DISCLAIMER: The Block Design Collective (“BDC”) does not make any representations or warranties with respect to the accuracy or suitability of this information, and persons making use of this information do so at their own risk. BDC disclaims liability for damages of any kind, including any special, indirect, or consequential damages, which may result from use of this information. This information is not to be interpreted as indicating compliance with, or waiver of, any applicable building code, ordinance, standard or law.  </t>
  </si>
  <si>
    <t>ASTM C90 Minimum Face Shell and Web Thickness Requirements</t>
  </si>
  <si>
    <r>
      <rPr>
        <i/>
        <sz val="12"/>
        <rFont val="Cambria"/>
        <family val="1"/>
        <scheme val="major"/>
      </rPr>
      <t>A</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2</t>
    </r>
    <r>
      <rPr>
        <sz val="12"/>
        <rFont val="Cambria"/>
        <family val="1"/>
        <scheme val="major"/>
      </rPr>
      <t>/ft)</t>
    </r>
  </si>
  <si>
    <r>
      <rPr>
        <i/>
        <sz val="12"/>
        <rFont val="Cambria"/>
        <family val="1"/>
        <scheme val="major"/>
      </rPr>
      <t>I</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4</t>
    </r>
    <r>
      <rPr>
        <sz val="12"/>
        <rFont val="Cambria"/>
        <family val="1"/>
        <scheme val="major"/>
      </rPr>
      <t>/ft)</t>
    </r>
  </si>
  <si>
    <r>
      <rPr>
        <i/>
        <sz val="12"/>
        <rFont val="Cambria"/>
        <family val="1"/>
        <scheme val="major"/>
      </rPr>
      <t>S</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3</t>
    </r>
    <r>
      <rPr>
        <sz val="12"/>
        <rFont val="Cambria"/>
        <family val="1"/>
        <scheme val="major"/>
      </rPr>
      <t>/ft)</t>
    </r>
  </si>
  <si>
    <r>
      <rPr>
        <i/>
        <sz val="12"/>
        <rFont val="Cambria"/>
        <family val="1"/>
        <scheme val="major"/>
      </rPr>
      <t>r</t>
    </r>
    <r>
      <rPr>
        <i/>
        <vertAlign val="subscript"/>
        <sz val="10"/>
        <rFont val="Cambria"/>
        <family val="1"/>
        <scheme val="major"/>
      </rPr>
      <t>net</t>
    </r>
    <r>
      <rPr>
        <sz val="12"/>
        <rFont val="Cambria"/>
        <family val="1"/>
        <scheme val="major"/>
      </rPr>
      <t xml:space="preserve"> (in)</t>
    </r>
  </si>
  <si>
    <r>
      <rPr>
        <i/>
        <sz val="12"/>
        <rFont val="Cambria"/>
        <family val="1"/>
        <scheme val="major"/>
      </rPr>
      <t>A</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2</t>
    </r>
    <r>
      <rPr>
        <sz val="12"/>
        <rFont val="Cambria"/>
        <family val="1"/>
        <scheme val="major"/>
      </rPr>
      <t>/ft)</t>
    </r>
  </si>
  <si>
    <r>
      <rPr>
        <i/>
        <sz val="12"/>
        <rFont val="Cambria"/>
        <family val="1"/>
        <scheme val="major"/>
      </rPr>
      <t>I</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4</t>
    </r>
    <r>
      <rPr>
        <sz val="12"/>
        <rFont val="Cambria"/>
        <family val="1"/>
        <scheme val="major"/>
      </rPr>
      <t>/ft)</t>
    </r>
  </si>
  <si>
    <r>
      <rPr>
        <i/>
        <sz val="12"/>
        <rFont val="Cambria"/>
        <family val="1"/>
        <scheme val="major"/>
      </rPr>
      <t>S</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3</t>
    </r>
    <r>
      <rPr>
        <sz val="12"/>
        <rFont val="Cambria"/>
        <family val="1"/>
        <scheme val="major"/>
      </rPr>
      <t>/ft)</t>
    </r>
  </si>
  <si>
    <r>
      <rPr>
        <i/>
        <sz val="12"/>
        <rFont val="Cambria"/>
        <family val="1"/>
        <scheme val="major"/>
      </rPr>
      <t>r</t>
    </r>
    <r>
      <rPr>
        <i/>
        <vertAlign val="subscript"/>
        <sz val="10"/>
        <rFont val="Cambria"/>
        <family val="1"/>
        <scheme val="major"/>
      </rPr>
      <t>avg</t>
    </r>
    <r>
      <rPr>
        <sz val="12"/>
        <rFont val="Cambria"/>
        <family val="1"/>
        <scheme val="major"/>
      </rPr>
      <t xml:space="preserve"> (in)</t>
    </r>
  </si>
  <si>
    <r>
      <t>Grout Density (lb/ft</t>
    </r>
    <r>
      <rPr>
        <vertAlign val="superscript"/>
        <sz val="12"/>
        <rFont val="Cambria"/>
        <family val="1"/>
      </rPr>
      <t>3</t>
    </r>
    <r>
      <rPr>
        <sz val="12"/>
        <rFont val="Cambria"/>
        <family val="1"/>
      </rPr>
      <t>) =</t>
    </r>
  </si>
  <si>
    <t>Net</t>
  </si>
  <si>
    <t>Version 1.2 Last 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</si>
</sst>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0.000"/>
    <numFmt numFmtId="166" formatCode="0.0"/>
    <numFmt numFmtId="167" formatCode="#,##0.0"/>
  </numFmts>
  <fonts count="25" x14ac:knownFonts="1">
    <font>
      <sz val="12"/>
      <name val="Helv"/>
    </font>
    <font>
      <sz val="12"/>
      <name val="Times New Roman"/>
      <family val="1"/>
    </font>
    <font>
      <b/>
      <sz val="12"/>
      <name val="Times New Roman"/>
      <family val="1"/>
    </font>
    <font>
      <sz val="11"/>
      <name val="Cambria"/>
      <family val="1"/>
    </font>
    <font>
      <sz val="12"/>
      <name val="Cambria"/>
      <family val="1"/>
      <scheme val="major"/>
    </font>
    <font>
      <vertAlign val="subscript"/>
      <sz val="11"/>
      <name val="Cambria"/>
      <family val="1"/>
    </font>
    <font>
      <b/>
      <sz val="12"/>
      <name val="Cambria"/>
      <family val="1"/>
      <scheme val="major"/>
    </font>
    <font>
      <vertAlign val="subscript"/>
      <sz val="12"/>
      <name val="Cambria"/>
      <family val="1"/>
      <scheme val="major"/>
    </font>
    <font>
      <sz val="10"/>
      <name val="Cambria"/>
      <family val="1"/>
      <scheme val="major"/>
    </font>
    <font>
      <sz val="12"/>
      <name val="Cambria"/>
      <family val="1"/>
    </font>
    <font>
      <vertAlign val="superscript"/>
      <sz val="12"/>
      <name val="Cambria"/>
      <family val="1"/>
    </font>
    <font>
      <sz val="10"/>
      <name val="Cambria"/>
      <family val="1"/>
    </font>
    <font>
      <b/>
      <sz val="11"/>
      <name val="Cambria"/>
      <family val="1"/>
    </font>
    <font>
      <vertAlign val="superscript"/>
      <sz val="11"/>
      <name val="Cambria"/>
      <family val="1"/>
    </font>
    <font>
      <i/>
      <sz val="11"/>
      <name val="Cambria"/>
      <family val="1"/>
    </font>
    <font>
      <i/>
      <sz val="12"/>
      <name val="Cambria"/>
      <family val="1"/>
    </font>
    <font>
      <sz val="11"/>
      <color theme="1"/>
      <name val="Cambria"/>
      <family val="1"/>
    </font>
    <font>
      <vertAlign val="superscript"/>
      <sz val="10"/>
      <name val="Cambria"/>
      <family val="1"/>
      <scheme val="major"/>
    </font>
    <font>
      <i/>
      <vertAlign val="subscript"/>
      <sz val="11"/>
      <name val="Cambria"/>
      <family val="1"/>
    </font>
    <font>
      <i/>
      <sz val="12"/>
      <name val="Cambria"/>
      <family val="1"/>
      <scheme val="major"/>
    </font>
    <font>
      <i/>
      <vertAlign val="subscript"/>
      <sz val="12"/>
      <name val="Cambria"/>
      <family val="1"/>
      <scheme val="major"/>
    </font>
    <font>
      <sz val="11"/>
      <name val="Cambria"/>
      <family val="1"/>
      <scheme val="major"/>
    </font>
    <font>
      <sz val="8"/>
      <name val="Cambria"/>
      <family val="1"/>
      <scheme val="major"/>
    </font>
    <font>
      <b/>
      <sz val="11"/>
      <name val="Cambria"/>
      <family val="1"/>
      <scheme val="major"/>
    </font>
    <font>
      <i/>
      <vertAlign val="subscript"/>
      <sz val="10"/>
      <name val="Cambria"/>
      <family val="1"/>
      <scheme val="major"/>
    </font>
  </fonts>
  <fills count="3">
    <fill>
      <patternFill patternType="none"/>
    </fill>
    <fill>
      <patternFill patternType="gray125"/>
    </fill>
    <fill>
      <patternFill patternType="solid">
        <fgColor theme="6" tint="0.59999389629810485"/>
        <bgColor indexed="64"/>
      </patternFill>
    </fill>
  </fills>
  <borders count="2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164" fontId="0" fillId="0" borderId="0"/>
  </cellStyleXfs>
  <cellXfs count="97">
    <xf numFmtId="164" fontId="0" fillId="0" borderId="0" xfId="0"/>
    <xf numFmtId="164" fontId="1" fillId="0" borderId="0" xfId="0" applyFont="1" applyAlignment="1">
      <alignment horizontal="left"/>
    </xf>
    <xf numFmtId="164" fontId="1" fillId="0" borderId="0" xfId="0" applyFont="1"/>
    <xf numFmtId="164" fontId="1" fillId="0" borderId="0" xfId="0" applyFont="1" applyAlignment="1">
      <alignment horizontal="center"/>
    </xf>
    <xf numFmtId="165" fontId="1" fillId="0" borderId="0" xfId="0" applyNumberFormat="1" applyFont="1" applyAlignment="1">
      <alignment horizontal="left"/>
    </xf>
    <xf numFmtId="164" fontId="2" fillId="0" borderId="0" xfId="0" applyFont="1" applyAlignment="1">
      <alignment horizontal="left"/>
    </xf>
    <xf numFmtId="166" fontId="1" fillId="0" borderId="0" xfId="0" applyNumberFormat="1" applyFont="1" applyAlignment="1">
      <alignment horizontal="center"/>
    </xf>
    <xf numFmtId="2" fontId="1" fillId="0" borderId="0" xfId="0" applyNumberFormat="1" applyFont="1" applyAlignment="1">
      <alignment horizontal="center"/>
    </xf>
    <xf numFmtId="166" fontId="1" fillId="0" borderId="4" xfId="0" applyNumberFormat="1" applyFont="1" applyBorder="1" applyAlignment="1">
      <alignment horizontal="center"/>
    </xf>
    <xf numFmtId="166" fontId="1" fillId="0" borderId="7" xfId="0" applyNumberFormat="1" applyFont="1" applyBorder="1" applyAlignment="1">
      <alignment horizontal="center"/>
    </xf>
    <xf numFmtId="164" fontId="4" fillId="0" borderId="0" xfId="0" applyFont="1"/>
    <xf numFmtId="164" fontId="4" fillId="0" borderId="0" xfId="0" applyFont="1" applyAlignment="1">
      <alignment horizontal="right"/>
    </xf>
    <xf numFmtId="164" fontId="4" fillId="0" borderId="0" xfId="0" applyFont="1" applyAlignment="1">
      <alignment horizontal="center"/>
    </xf>
    <xf numFmtId="164" fontId="3" fillId="0" borderId="0" xfId="0" applyFont="1"/>
    <xf numFmtId="164" fontId="3" fillId="0" borderId="9" xfId="0" applyFont="1" applyBorder="1" applyAlignment="1">
      <alignment horizontal="center"/>
    </xf>
    <xf numFmtId="164" fontId="6" fillId="0" borderId="0" xfId="0" applyFont="1" applyAlignment="1">
      <alignment horizontal="left"/>
    </xf>
    <xf numFmtId="164" fontId="4" fillId="0" borderId="0" xfId="0" applyFont="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164" fontId="8" fillId="0" borderId="0" xfId="0" applyFont="1"/>
    <xf numFmtId="164" fontId="4" fillId="0" borderId="1" xfId="0" applyFont="1" applyBorder="1" applyAlignment="1">
      <alignment horizontal="center" wrapText="1"/>
    </xf>
    <xf numFmtId="164" fontId="9" fillId="0" borderId="0" xfId="0" applyFont="1"/>
    <xf numFmtId="164" fontId="9" fillId="0" borderId="0" xfId="0" applyFont="1" applyAlignment="1">
      <alignment horizontal="left"/>
    </xf>
    <xf numFmtId="164" fontId="9" fillId="0" borderId="0" xfId="0" applyFont="1" applyAlignment="1">
      <alignment horizontal="right"/>
    </xf>
    <xf numFmtId="165" fontId="9" fillId="0" borderId="0" xfId="0" applyNumberFormat="1" applyFont="1" applyAlignment="1">
      <alignment horizontal="left"/>
    </xf>
    <xf numFmtId="1" fontId="9" fillId="0" borderId="0" xfId="0" applyNumberFormat="1" applyFont="1" applyAlignment="1">
      <alignment horizontal="left"/>
    </xf>
    <xf numFmtId="164" fontId="11" fillId="0" borderId="0" xfId="0" applyFont="1"/>
    <xf numFmtId="164" fontId="9" fillId="0" borderId="0" xfId="0" applyFont="1" applyAlignment="1">
      <alignment horizontal="center"/>
    </xf>
    <xf numFmtId="165" fontId="9" fillId="0" borderId="0" xfId="0" applyNumberFormat="1" applyFont="1" applyAlignment="1">
      <alignment horizontal="center"/>
    </xf>
    <xf numFmtId="1" fontId="9" fillId="0" borderId="0" xfId="0" applyNumberFormat="1" applyFont="1" applyAlignment="1">
      <alignment horizontal="center"/>
    </xf>
    <xf numFmtId="167" fontId="9" fillId="0" borderId="0" xfId="0" applyNumberFormat="1" applyFont="1" applyAlignment="1">
      <alignment horizontal="center"/>
    </xf>
    <xf numFmtId="164" fontId="15" fillId="0" borderId="0" xfId="0" applyFont="1" applyAlignment="1">
      <alignment horizontal="center"/>
    </xf>
    <xf numFmtId="164" fontId="3" fillId="0" borderId="15" xfId="0" applyFont="1" applyBorder="1" applyAlignment="1">
      <alignment horizontal="center"/>
    </xf>
    <xf numFmtId="164" fontId="3" fillId="0" borderId="14" xfId="0" applyFont="1" applyBorder="1" applyAlignment="1">
      <alignment horizontal="center"/>
    </xf>
    <xf numFmtId="164" fontId="3" fillId="0" borderId="16" xfId="0" applyFont="1" applyBorder="1" applyAlignment="1">
      <alignment horizontal="center"/>
    </xf>
    <xf numFmtId="164" fontId="3" fillId="0" borderId="17" xfId="0" applyFont="1" applyBorder="1" applyAlignment="1">
      <alignment horizontal="center"/>
    </xf>
    <xf numFmtId="164" fontId="3" fillId="0" borderId="18" xfId="0" applyFont="1" applyBorder="1" applyAlignment="1">
      <alignment horizontal="center"/>
    </xf>
    <xf numFmtId="164" fontId="3" fillId="0" borderId="19" xfId="0" applyFont="1" applyBorder="1" applyAlignment="1">
      <alignment horizontal="center"/>
    </xf>
    <xf numFmtId="164" fontId="4" fillId="0" borderId="3" xfId="0" applyFont="1" applyBorder="1" applyAlignment="1">
      <alignment horizontal="center" wrapText="1"/>
    </xf>
    <xf numFmtId="164" fontId="4" fillId="0" borderId="2" xfId="0" applyFont="1" applyBorder="1" applyAlignment="1">
      <alignment horizontal="center" wrapText="1"/>
    </xf>
    <xf numFmtId="166" fontId="4" fillId="0" borderId="4" xfId="0" applyNumberFormat="1" applyFont="1" applyBorder="1" applyAlignment="1">
      <alignment horizontal="center"/>
    </xf>
    <xf numFmtId="166" fontId="4" fillId="0" borderId="5" xfId="0" applyNumberFormat="1" applyFont="1" applyBorder="1" applyAlignment="1">
      <alignment horizontal="center"/>
    </xf>
    <xf numFmtId="2" fontId="4" fillId="0" borderId="6" xfId="0" applyNumberFormat="1" applyFont="1" applyBorder="1" applyAlignment="1">
      <alignment horizontal="center"/>
    </xf>
    <xf numFmtId="166" fontId="4" fillId="0" borderId="0" xfId="0" applyNumberFormat="1" applyFont="1" applyAlignment="1">
      <alignment horizontal="center"/>
    </xf>
    <xf numFmtId="2" fontId="4" fillId="0" borderId="0" xfId="0" applyNumberFormat="1" applyFont="1" applyAlignment="1">
      <alignment horizontal="center"/>
    </xf>
    <xf numFmtId="166" fontId="4" fillId="0" borderId="7" xfId="0" applyNumberFormat="1" applyFont="1" applyBorder="1" applyAlignment="1">
      <alignment horizontal="center"/>
    </xf>
    <xf numFmtId="2" fontId="4" fillId="0" borderId="8" xfId="0" applyNumberFormat="1" applyFont="1" applyBorder="1" applyAlignment="1">
      <alignment horizontal="center"/>
    </xf>
    <xf numFmtId="2" fontId="4" fillId="0" borderId="0" xfId="0" applyNumberFormat="1" applyFont="1" applyAlignment="1">
      <alignment horizontal="left"/>
    </xf>
    <xf numFmtId="2" fontId="1" fillId="0" borderId="0" xfId="0" applyNumberFormat="1" applyFont="1" applyAlignment="1">
      <alignment horizontal="left"/>
    </xf>
    <xf numFmtId="164" fontId="3" fillId="0" borderId="23" xfId="0" applyFont="1" applyBorder="1" applyAlignment="1">
      <alignment horizontal="center"/>
    </xf>
    <xf numFmtId="164" fontId="3" fillId="0" borderId="24" xfId="0" applyFont="1" applyBorder="1" applyAlignment="1">
      <alignment horizontal="center"/>
    </xf>
    <xf numFmtId="164" fontId="3" fillId="0" borderId="25" xfId="0" applyFont="1" applyBorder="1" applyAlignment="1">
      <alignment horizontal="center"/>
    </xf>
    <xf numFmtId="164" fontId="14" fillId="0" borderId="21" xfId="0" applyFont="1" applyBorder="1" applyAlignment="1">
      <alignment horizontal="center"/>
    </xf>
    <xf numFmtId="164" fontId="14" fillId="0" borderId="22" xfId="0" applyFont="1" applyBorder="1" applyAlignment="1">
      <alignment horizontal="center"/>
    </xf>
    <xf numFmtId="164" fontId="14" fillId="0" borderId="14" xfId="0" applyFont="1" applyBorder="1" applyAlignment="1">
      <alignment horizontal="right"/>
    </xf>
    <xf numFmtId="167" fontId="3" fillId="0" borderId="9" xfId="0" applyNumberFormat="1" applyFont="1" applyBorder="1" applyAlignment="1">
      <alignment horizontal="center"/>
    </xf>
    <xf numFmtId="164" fontId="3" fillId="0" borderId="15" xfId="0" applyFont="1" applyBorder="1"/>
    <xf numFmtId="4" fontId="3" fillId="0" borderId="9" xfId="0" applyNumberFormat="1" applyFont="1" applyBorder="1" applyAlignment="1">
      <alignment horizontal="center"/>
    </xf>
    <xf numFmtId="164" fontId="3" fillId="0" borderId="16" xfId="0" applyFont="1" applyBorder="1" applyAlignment="1">
      <alignment horizontal="right"/>
    </xf>
    <xf numFmtId="164" fontId="3" fillId="0" borderId="18" xfId="0" applyFont="1" applyBorder="1"/>
    <xf numFmtId="164" fontId="14" fillId="0" borderId="23" xfId="0" applyFont="1" applyBorder="1" applyAlignment="1">
      <alignment horizontal="right"/>
    </xf>
    <xf numFmtId="167" fontId="3" fillId="0" borderId="24" xfId="0" applyNumberFormat="1" applyFont="1" applyBorder="1" applyAlignment="1">
      <alignment horizontal="center"/>
    </xf>
    <xf numFmtId="164" fontId="3" fillId="0" borderId="25" xfId="0" applyFont="1" applyBorder="1"/>
    <xf numFmtId="164" fontId="21" fillId="0" borderId="0" xfId="0" applyFont="1"/>
    <xf numFmtId="164" fontId="23" fillId="0" borderId="0" xfId="0" applyFont="1" applyAlignment="1">
      <alignment horizontal="right"/>
    </xf>
    <xf numFmtId="4" fontId="9" fillId="0" borderId="0" xfId="0" applyNumberFormat="1" applyFont="1" applyAlignment="1">
      <alignment horizontal="center"/>
    </xf>
    <xf numFmtId="164" fontId="16" fillId="2" borderId="10" xfId="0" applyFont="1" applyFill="1" applyBorder="1" applyAlignment="1" applyProtection="1">
      <alignment horizontal="center"/>
      <protection locked="0"/>
    </xf>
    <xf numFmtId="164" fontId="3" fillId="2" borderId="9" xfId="0" applyFont="1" applyFill="1" applyBorder="1" applyAlignment="1" applyProtection="1">
      <alignment horizontal="center"/>
      <protection locked="0"/>
    </xf>
    <xf numFmtId="164" fontId="3" fillId="2" borderId="15" xfId="0" applyFont="1" applyFill="1" applyBorder="1" applyAlignment="1" applyProtection="1">
      <alignment horizontal="center"/>
      <protection locked="0"/>
    </xf>
    <xf numFmtId="164" fontId="3" fillId="2" borderId="17" xfId="0" applyFont="1" applyFill="1" applyBorder="1" applyAlignment="1" applyProtection="1">
      <alignment horizontal="center"/>
      <protection locked="0"/>
    </xf>
    <xf numFmtId="164" fontId="3" fillId="2" borderId="18" xfId="0" applyFont="1" applyFill="1" applyBorder="1" applyAlignment="1" applyProtection="1">
      <alignment horizontal="center"/>
      <protection locked="0"/>
    </xf>
    <xf numFmtId="164" fontId="22" fillId="0" borderId="0" xfId="0" applyFont="1" applyAlignment="1">
      <alignment horizontal="left" wrapText="1"/>
    </xf>
    <xf numFmtId="164" fontId="9" fillId="0" borderId="0" xfId="0" applyFont="1" applyAlignment="1">
      <alignment horizontal="center" wrapText="1"/>
    </xf>
    <xf numFmtId="164" fontId="9" fillId="0" borderId="19" xfId="0" applyFont="1" applyBorder="1" applyAlignment="1">
      <alignment wrapText="1"/>
    </xf>
    <xf numFmtId="164" fontId="9" fillId="0" borderId="19" xfId="0" applyFont="1" applyBorder="1" applyAlignment="1">
      <alignment horizontal="center" wrapText="1"/>
    </xf>
    <xf numFmtId="164" fontId="12" fillId="0" borderId="26" xfId="0" applyFont="1" applyBorder="1" applyAlignment="1">
      <alignment horizontal="center" vertical="center"/>
    </xf>
    <xf numFmtId="164" fontId="12" fillId="0" borderId="27" xfId="0" applyFont="1" applyBorder="1" applyAlignment="1">
      <alignment horizontal="center" vertical="center"/>
    </xf>
    <xf numFmtId="164" fontId="12" fillId="0" borderId="28" xfId="0" applyFont="1" applyBorder="1" applyAlignment="1">
      <alignment horizontal="center" vertical="center"/>
    </xf>
    <xf numFmtId="164" fontId="9" fillId="0" borderId="0" xfId="0" applyFont="1" applyAlignment="1">
      <alignment horizontal="center"/>
    </xf>
    <xf numFmtId="164" fontId="3" fillId="0" borderId="11" xfId="0" applyFont="1" applyBorder="1" applyAlignment="1">
      <alignment horizontal="center" wrapText="1"/>
    </xf>
    <xf numFmtId="164" fontId="3" fillId="0" borderId="14" xfId="0" applyFont="1" applyBorder="1" applyAlignment="1">
      <alignment horizontal="center" wrapText="1"/>
    </xf>
    <xf numFmtId="164" fontId="3" fillId="0" borderId="12" xfId="0" applyFont="1" applyBorder="1" applyAlignment="1">
      <alignment horizontal="center"/>
    </xf>
    <xf numFmtId="164" fontId="3" fillId="0" borderId="13" xfId="0" applyFont="1" applyBorder="1" applyAlignment="1">
      <alignment horizontal="center"/>
    </xf>
    <xf numFmtId="164" fontId="4" fillId="0" borderId="0" xfId="0" applyFont="1" applyAlignment="1">
      <alignment horizontal="center" wrapText="1"/>
    </xf>
    <xf numFmtId="164" fontId="4" fillId="0" borderId="1" xfId="0" applyFont="1" applyBorder="1" applyAlignment="1">
      <alignment horizontal="center" wrapText="1"/>
    </xf>
    <xf numFmtId="164" fontId="4" fillId="0" borderId="1" xfId="0" applyFont="1" applyBorder="1" applyAlignment="1">
      <alignment wrapText="1"/>
    </xf>
    <xf numFmtId="164" fontId="4" fillId="0" borderId="7" xfId="0" applyFont="1" applyBorder="1" applyAlignment="1">
      <alignment horizontal="center"/>
    </xf>
    <xf numFmtId="164" fontId="4" fillId="0" borderId="0" xfId="0" applyFont="1" applyAlignment="1">
      <alignment horizontal="center"/>
    </xf>
    <xf numFmtId="164" fontId="4" fillId="0" borderId="8" xfId="0" applyFont="1" applyBorder="1" applyAlignment="1">
      <alignment horizontal="center"/>
    </xf>
    <xf numFmtId="164" fontId="3" fillId="0" borderId="20" xfId="0" applyFont="1" applyBorder="1" applyAlignment="1">
      <alignment horizontal="center" wrapText="1"/>
    </xf>
    <xf numFmtId="164" fontId="1" fillId="0" borderId="0" xfId="0" applyFont="1" applyAlignment="1">
      <alignment horizontal="center"/>
    </xf>
    <xf numFmtId="164" fontId="1" fillId="0" borderId="7" xfId="0" applyFont="1" applyBorder="1" applyAlignment="1">
      <alignment horizontal="center"/>
    </xf>
    <xf numFmtId="164" fontId="1" fillId="0" borderId="8" xfId="0" applyFont="1" applyBorder="1" applyAlignment="1">
      <alignment horizontal="center"/>
    </xf>
    <xf numFmtId="164" fontId="1" fillId="0" borderId="0" xfId="0" applyFont="1" applyAlignment="1">
      <alignment horizontal="center" wrapText="1"/>
    </xf>
    <xf numFmtId="164" fontId="1" fillId="0" borderId="1" xfId="0" applyFont="1" applyBorder="1" applyAlignment="1">
      <alignment horizontal="center" wrapText="1"/>
    </xf>
    <xf numFmtId="164" fontId="0" fillId="0" borderId="1" xfId="0" applyBorder="1" applyAlignment="1">
      <alignment horizontal="center" wrapText="1"/>
    </xf>
    <xf numFmtId="164"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87892" cy="1352550"/>
    <xdr:pic>
      <xdr:nvPicPr>
        <xdr:cNvPr id="2" name="Picture 1">
          <a:extLst>
            <a:ext uri="{FF2B5EF4-FFF2-40B4-BE49-F238E27FC236}">
              <a16:creationId xmlns:a16="http://schemas.microsoft.com/office/drawing/2014/main" id="{4AC43A41-14B4-4DCE-8411-19B8CDB29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7892" cy="1352550"/>
        </a:xfrm>
        <a:prstGeom prst="rect">
          <a:avLst/>
        </a:prstGeom>
      </xdr:spPr>
    </xdr:pic>
    <xdr:clientData/>
  </xdr:oneCellAnchor>
  <xdr:oneCellAnchor>
    <xdr:from>
      <xdr:col>0</xdr:col>
      <xdr:colOff>0</xdr:colOff>
      <xdr:row>7</xdr:row>
      <xdr:rowOff>57150</xdr:rowOff>
    </xdr:from>
    <xdr:ext cx="7575550" cy="7366504"/>
    <xdr:sp macro="" textlink="">
      <xdr:nvSpPr>
        <xdr:cNvPr id="3" name="TextBox 2">
          <a:extLst>
            <a:ext uri="{FF2B5EF4-FFF2-40B4-BE49-F238E27FC236}">
              <a16:creationId xmlns:a16="http://schemas.microsoft.com/office/drawing/2014/main" id="{4C0A830B-7187-41F0-AA11-00FF477F9C50}"/>
            </a:ext>
          </a:extLst>
        </xdr:cNvPr>
        <xdr:cNvSpPr txBox="1"/>
      </xdr:nvSpPr>
      <xdr:spPr>
        <a:xfrm>
          <a:off x="0" y="1320800"/>
          <a:ext cx="7575550" cy="7366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1">
              <a:latin typeface="Cambria" panose="02040503050406030204" pitchFamily="18" charset="0"/>
              <a:ea typeface="Cambria" panose="02040503050406030204" pitchFamily="18" charset="0"/>
            </a:rPr>
            <a:t>User Notes and Calculator Assumptions</a:t>
          </a:r>
        </a:p>
        <a:p>
          <a:r>
            <a:rPr lang="en-US" sz="1100">
              <a:latin typeface="Cambria" panose="02040503050406030204" pitchFamily="18" charset="0"/>
              <a:ea typeface="Cambria" panose="02040503050406030204" pitchFamily="18" charset="0"/>
            </a:rPr>
            <a:t>1) This calculator determines net and average cross-sectional</a:t>
          </a:r>
          <a:r>
            <a:rPr lang="en-US" sz="1100" baseline="0">
              <a:latin typeface="Cambria" panose="02040503050406030204" pitchFamily="18" charset="0"/>
              <a:ea typeface="Cambria" panose="02040503050406030204" pitchFamily="18" charset="0"/>
            </a:rPr>
            <a:t> properties based on user defined inputs. Net section properties represent the smallest cross-section of an assembly and are used for calculating assembly strength. Average section properties represent the average cross-section of an assembly and are used for calculating assembly stiffness. This calculator determines the net cross-sectional properties through a plane concurrent with a mortar joint while average section properties are determined through a plane concurrent with the mid-height or mid-length of a unit in the assembly.</a:t>
          </a:r>
        </a:p>
        <a:p>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2) </a:t>
          </a:r>
          <a:r>
            <a:rPr lang="en-US" sz="1100" baseline="0">
              <a:solidFill>
                <a:schemeClr val="dk1"/>
              </a:solidFill>
              <a:effectLst/>
              <a:latin typeface="Cambria" panose="02040503050406030204" pitchFamily="18" charset="0"/>
              <a:ea typeface="Cambria" panose="02040503050406030204" pitchFamily="18" charset="0"/>
              <a:cs typeface="+mn-cs"/>
            </a:rPr>
            <a:t>Highlighted cells are user inputs. </a:t>
          </a:r>
          <a:r>
            <a:rPr lang="en-US" sz="1100">
              <a:latin typeface="Cambria" panose="02040503050406030204" pitchFamily="18" charset="0"/>
              <a:ea typeface="Cambria" panose="02040503050406030204" pitchFamily="18" charset="0"/>
            </a:rPr>
            <a:t>All inputs and outputs use inch-pound units</a:t>
          </a:r>
          <a:r>
            <a:rPr lang="en-US" sz="1100" baseline="0">
              <a:latin typeface="Cambria" panose="02040503050406030204" pitchFamily="18" charset="0"/>
              <a:ea typeface="Cambria" panose="020405030504060302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3) The "Inputs-Outputs" sheet allows users to input the following assembly properties: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a) Nominal width</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b) CMU density</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c) Grout spacing</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d) Unit configuration (hollow or solid)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e) Mortar bedding (face shell or full)</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Users can also select between net or average section properties as outputs as well as whether the cross-section is taken in a horizontal (for assemblies spanning vertically) or vertical (for assemblies spanning horizontally) direction. All cross-sectional property outputs are a per foot unit strip. All wall weight outputs are averaged pounds per square foot of wall surface. The tabs "Horizontal and Vertical Section Properties do not require user inputs and are used solely to calculate section properties.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4) The calculator is based on a unit consisting of two cells similar to that shown here. Users may modify the face shell and web thicknesses used in determining the cross-section properties and wall weights provided inputs still meet the minimum face shell and web thickness requirements of ASTM C90 (below).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mj-lt"/>
              <a:ea typeface="Cambria" panose="02040503050406030204" pitchFamily="18" charset="0"/>
            </a:rPr>
            <a:t>5) The calculator produces two output options simultaneously: the cross-sectional area, moment of inertia, section modulus, radius of gyration, and wall weight for the specific inputs provided as well as tabulated properties for all grout spacings up to 120 in. For grouted assemblies, the web adjacent to the grouted cells are assumed to be mortared.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mj-lt"/>
            <a:ea typeface="Cambria" panose="02040503050406030204" pitchFamily="18" charset="0"/>
          </a:endParaRPr>
        </a:p>
        <a:p>
          <a:r>
            <a:rPr lang="en-US" sz="1100" u="sng">
              <a:latin typeface="+mj-lt"/>
              <a:ea typeface="Cambria" panose="02040503050406030204" pitchFamily="18" charset="0"/>
            </a:rPr>
            <a:t>Notations</a:t>
          </a:r>
        </a:p>
        <a:p>
          <a:r>
            <a:rPr lang="en-US" sz="1100" i="1">
              <a:latin typeface="+mj-lt"/>
              <a:ea typeface="Cambria" panose="02040503050406030204" pitchFamily="18" charset="0"/>
            </a:rPr>
            <a:t>A</a:t>
          </a:r>
          <a:r>
            <a:rPr lang="en-US" sz="1100" i="1" baseline="-25000">
              <a:latin typeface="+mj-lt"/>
              <a:ea typeface="Cambria" panose="02040503050406030204" pitchFamily="18" charset="0"/>
            </a:rPr>
            <a:t>avg</a:t>
          </a:r>
          <a:r>
            <a:rPr lang="en-US" sz="1100">
              <a:latin typeface="+mj-lt"/>
              <a:ea typeface="Cambria" panose="02040503050406030204" pitchFamily="18" charset="0"/>
            </a:rPr>
            <a:t> = average cross-sectional</a:t>
          </a:r>
          <a:r>
            <a:rPr lang="en-US" sz="1100" baseline="0">
              <a:latin typeface="+mj-lt"/>
              <a:ea typeface="Cambria" panose="02040503050406030204" pitchFamily="18" charset="0"/>
            </a:rPr>
            <a:t> area, in.</a:t>
          </a:r>
          <a:r>
            <a:rPr lang="en-US" sz="1100" baseline="30000">
              <a:latin typeface="+mj-lt"/>
              <a:ea typeface="Cambria" panose="02040503050406030204" pitchFamily="18" charset="0"/>
            </a:rPr>
            <a:t>2</a:t>
          </a:r>
          <a:r>
            <a:rPr lang="en-US" sz="1100" baseline="0">
              <a:latin typeface="+mj-lt"/>
              <a:ea typeface="Cambria" panose="02040503050406030204" pitchFamily="18" charset="0"/>
            </a:rPr>
            <a:t>/ft</a:t>
          </a:r>
        </a:p>
        <a:p>
          <a:r>
            <a:rPr lang="en-US" sz="1100" i="1" baseline="0">
              <a:latin typeface="+mj-lt"/>
              <a:ea typeface="Cambria" panose="02040503050406030204" pitchFamily="18" charset="0"/>
            </a:rPr>
            <a:t>A</a:t>
          </a:r>
          <a:r>
            <a:rPr lang="en-US" sz="1100" i="1" baseline="-25000">
              <a:latin typeface="+mj-lt"/>
              <a:ea typeface="Cambria" panose="02040503050406030204" pitchFamily="18" charset="0"/>
            </a:rPr>
            <a:t>net</a:t>
          </a:r>
          <a:r>
            <a:rPr lang="en-US" sz="1100" baseline="0">
              <a:latin typeface="+mj-lt"/>
              <a:ea typeface="Cambria" panose="02040503050406030204" pitchFamily="18" charset="0"/>
            </a:rPr>
            <a:t> = net cross-sectional area, in.</a:t>
          </a:r>
          <a:r>
            <a:rPr lang="en-US" sz="1100" baseline="30000">
              <a:latin typeface="+mj-lt"/>
              <a:ea typeface="Cambria" panose="02040503050406030204" pitchFamily="18" charset="0"/>
            </a:rPr>
            <a:t>2</a:t>
          </a:r>
          <a:r>
            <a:rPr lang="en-US" sz="1100" baseline="0">
              <a:solidFill>
                <a:schemeClr val="dk1"/>
              </a:solidFill>
              <a:effectLst/>
              <a:latin typeface="+mj-lt"/>
              <a:ea typeface="+mn-ea"/>
              <a:cs typeface="+mn-cs"/>
            </a:rPr>
            <a:t>/ft</a:t>
          </a:r>
          <a:endParaRPr lang="en-US" sz="1100" baseline="30000">
            <a:latin typeface="+mj-lt"/>
            <a:ea typeface="Cambria" panose="02040503050406030204" pitchFamily="18" charset="0"/>
          </a:endParaRPr>
        </a:p>
        <a:p>
          <a:r>
            <a:rPr lang="en-US" sz="1100" i="1" baseline="0">
              <a:latin typeface="+mj-lt"/>
              <a:ea typeface="Cambria" panose="02040503050406030204" pitchFamily="18" charset="0"/>
            </a:rPr>
            <a:t>I</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moment of inertia, in.</a:t>
          </a:r>
          <a:r>
            <a:rPr lang="en-US" sz="1100" baseline="30000">
              <a:latin typeface="+mj-lt"/>
              <a:ea typeface="Cambria" panose="02040503050406030204" pitchFamily="18" charset="0"/>
            </a:rPr>
            <a:t>4</a:t>
          </a:r>
          <a:r>
            <a:rPr lang="en-US" sz="1100" baseline="0">
              <a:latin typeface="+mj-lt"/>
              <a:ea typeface="Cambria" panose="02040503050406030204" pitchFamily="18" charset="0"/>
            </a:rPr>
            <a:t>/ft</a:t>
          </a: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I</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moment of inertia, in.</a:t>
          </a:r>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/ft</a:t>
          </a:r>
          <a:endParaRPr lang="en-US">
            <a:effectLst/>
          </a:endParaRPr>
        </a:p>
        <a:p>
          <a:r>
            <a:rPr lang="en-US" sz="1100" i="1" baseline="0">
              <a:latin typeface="+mj-lt"/>
              <a:ea typeface="Cambria" panose="02040503050406030204" pitchFamily="18" charset="0"/>
            </a:rPr>
            <a:t>r</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radius of gyration, in.</a:t>
          </a:r>
          <a:r>
            <a:rPr lang="en-US" sz="1100" baseline="30000">
              <a:latin typeface="+mj-lt"/>
              <a:ea typeface="Cambria" panose="02040503050406030204" pitchFamily="18" charset="0"/>
            </a:rPr>
            <a:t>3</a:t>
          </a: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r</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radius of gyration, in.</a:t>
          </a:r>
          <a:r>
            <a:rPr lang="en-US" sz="1100" baseline="30000">
              <a:solidFill>
                <a:schemeClr val="dk1"/>
              </a:solidFill>
              <a:effectLst/>
              <a:latin typeface="+mn-lt"/>
              <a:ea typeface="+mn-ea"/>
              <a:cs typeface="+mn-cs"/>
            </a:rPr>
            <a:t>3</a:t>
          </a:r>
          <a:endParaRPr lang="en-US">
            <a:effectLst/>
          </a:endParaRPr>
        </a:p>
        <a:p>
          <a:r>
            <a:rPr lang="en-US" sz="1100" i="1" baseline="0">
              <a:latin typeface="+mj-lt"/>
              <a:ea typeface="Cambria" panose="02040503050406030204" pitchFamily="18" charset="0"/>
            </a:rPr>
            <a:t>S</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section modulus, in.</a:t>
          </a:r>
          <a:r>
            <a:rPr lang="en-US" sz="1100" baseline="30000">
              <a:latin typeface="+mj-lt"/>
              <a:ea typeface="Cambria" panose="02040503050406030204" pitchFamily="18" charset="0"/>
            </a:rPr>
            <a:t>3</a:t>
          </a:r>
          <a:r>
            <a:rPr lang="en-US" sz="1100" baseline="0">
              <a:latin typeface="+mj-lt"/>
              <a:ea typeface="Cambria" panose="02040503050406030204" pitchFamily="18" charset="0"/>
            </a:rPr>
            <a:t>/ft</a:t>
          </a:r>
          <a:endParaRPr lang="en-US" sz="1100">
            <a:latin typeface="+mj-lt"/>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S</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section modulus, in.</a:t>
          </a:r>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/ft</a:t>
          </a:r>
          <a:endParaRPr lang="en-US">
            <a:effectLst/>
          </a:endParaRPr>
        </a:p>
        <a:p>
          <a:r>
            <a:rPr lang="en-US" sz="1100" i="1">
              <a:latin typeface="+mj-lt"/>
              <a:ea typeface="Cambria" panose="02040503050406030204" pitchFamily="18" charset="0"/>
            </a:rPr>
            <a:t>t</a:t>
          </a:r>
          <a:r>
            <a:rPr lang="en-US" sz="1100" i="1" baseline="-25000">
              <a:latin typeface="+mj-lt"/>
              <a:ea typeface="Cambria" panose="02040503050406030204" pitchFamily="18" charset="0"/>
            </a:rPr>
            <a:t>fs</a:t>
          </a:r>
          <a:r>
            <a:rPr lang="en-US" sz="1100">
              <a:latin typeface="+mj-lt"/>
              <a:ea typeface="Cambria" panose="02040503050406030204" pitchFamily="18" charset="0"/>
            </a:rPr>
            <a:t> = face shell thickness,</a:t>
          </a:r>
          <a:r>
            <a:rPr lang="en-US" sz="1100" baseline="0">
              <a:latin typeface="+mj-lt"/>
              <a:ea typeface="Cambria" panose="02040503050406030204" pitchFamily="18" charset="0"/>
            </a:rPr>
            <a:t> in.</a:t>
          </a:r>
        </a:p>
        <a:p>
          <a:r>
            <a:rPr lang="en-US" sz="1100" i="1" baseline="0">
              <a:latin typeface="+mj-lt"/>
              <a:ea typeface="Cambria" panose="02040503050406030204" pitchFamily="18" charset="0"/>
            </a:rPr>
            <a:t>t</a:t>
          </a:r>
          <a:r>
            <a:rPr lang="en-US" sz="1100" i="1" baseline="-25000">
              <a:latin typeface="+mj-lt"/>
              <a:ea typeface="Cambria" panose="02040503050406030204" pitchFamily="18" charset="0"/>
            </a:rPr>
            <a:t>web</a:t>
          </a:r>
          <a:r>
            <a:rPr lang="en-US" sz="1100" baseline="0">
              <a:latin typeface="+mj-lt"/>
              <a:ea typeface="Cambria" panose="02040503050406030204" pitchFamily="18" charset="0"/>
            </a:rPr>
            <a:t> = web thickness, in.</a:t>
          </a:r>
        </a:p>
        <a:p>
          <a:endParaRPr lang="en-US" sz="1100">
            <a:latin typeface="Cambria" panose="02040503050406030204" pitchFamily="18" charset="0"/>
            <a:ea typeface="Cambria" panose="02040503050406030204" pitchFamily="18" charset="0"/>
          </a:endParaRPr>
        </a:p>
        <a:p>
          <a:r>
            <a:rPr lang="en-US" sz="1050" u="sng" baseline="0">
              <a:solidFill>
                <a:schemeClr val="dk1"/>
              </a:solidFill>
              <a:effectLst/>
              <a:latin typeface="Cambria" panose="02040503050406030204" pitchFamily="18" charset="0"/>
              <a:ea typeface="Cambria" panose="02040503050406030204" pitchFamily="18" charset="0"/>
              <a:cs typeface="+mn-cs"/>
            </a:rPr>
            <a:t>Protection</a:t>
          </a:r>
          <a:endParaRPr lang="en-US" sz="1050" u="sng">
            <a:effectLst/>
            <a:latin typeface="Cambria" panose="02040503050406030204" pitchFamily="18" charset="0"/>
            <a:ea typeface="Cambria" panose="02040503050406030204" pitchFamily="18" charset="0"/>
          </a:endParaRPr>
        </a:p>
        <a:p>
          <a:r>
            <a:rPr lang="en-US" sz="1050" baseline="0">
              <a:solidFill>
                <a:schemeClr val="dk1"/>
              </a:solidFill>
              <a:effectLst/>
              <a:latin typeface="Cambria" panose="02040503050406030204" pitchFamily="18" charset="0"/>
              <a:ea typeface="Cambria" panose="02040503050406030204" pitchFamily="18" charset="0"/>
              <a:cs typeface="+mn-cs"/>
            </a:rPr>
            <a:t>To prevent the inadvertent changing of this calculator's functions, many of the cells are locked from editing. Users may unlock the spreadsheet if desired using the password "bloxrox". </a:t>
          </a:r>
          <a:endParaRPr lang="en-US" sz="1050">
            <a:effectLst/>
            <a:latin typeface="Cambria" panose="02040503050406030204" pitchFamily="18" charset="0"/>
            <a:ea typeface="Cambria" panose="02040503050406030204" pitchFamily="18" charset="0"/>
          </a:endParaRPr>
        </a:p>
      </xdr:txBody>
    </xdr:sp>
    <xdr:clientData/>
  </xdr:oneCellAnchor>
  <xdr:twoCellAnchor editAs="oneCell">
    <xdr:from>
      <xdr:col>0</xdr:col>
      <xdr:colOff>0</xdr:colOff>
      <xdr:row>51</xdr:row>
      <xdr:rowOff>120650</xdr:rowOff>
    </xdr:from>
    <xdr:to>
      <xdr:col>9</xdr:col>
      <xdr:colOff>736600</xdr:colOff>
      <xdr:row>61</xdr:row>
      <xdr:rowOff>162943</xdr:rowOff>
    </xdr:to>
    <xdr:pic>
      <xdr:nvPicPr>
        <xdr:cNvPr id="4" name="Picture 3">
          <a:extLst>
            <a:ext uri="{FF2B5EF4-FFF2-40B4-BE49-F238E27FC236}">
              <a16:creationId xmlns:a16="http://schemas.microsoft.com/office/drawing/2014/main" id="{53B8B056-8AF4-A36E-34E4-8D5AA7F181C8}"/>
            </a:ext>
          </a:extLst>
        </xdr:cNvPr>
        <xdr:cNvPicPr>
          <a:picLocks noChangeAspect="1"/>
        </xdr:cNvPicPr>
      </xdr:nvPicPr>
      <xdr:blipFill>
        <a:blip xmlns:r="http://schemas.openxmlformats.org/officeDocument/2006/relationships" r:embed="rId2"/>
        <a:stretch>
          <a:fillRect/>
        </a:stretch>
      </xdr:blipFill>
      <xdr:spPr>
        <a:xfrm>
          <a:off x="0" y="10699750"/>
          <a:ext cx="7594600" cy="1820293"/>
        </a:xfrm>
        <a:prstGeom prst="rect">
          <a:avLst/>
        </a:prstGeom>
      </xdr:spPr>
    </xdr:pic>
    <xdr:clientData/>
  </xdr:twoCellAnchor>
  <xdr:twoCellAnchor editAs="oneCell">
    <xdr:from>
      <xdr:col>4</xdr:col>
      <xdr:colOff>366497</xdr:colOff>
      <xdr:row>34</xdr:row>
      <xdr:rowOff>173676</xdr:rowOff>
    </xdr:from>
    <xdr:to>
      <xdr:col>9</xdr:col>
      <xdr:colOff>120650</xdr:colOff>
      <xdr:row>42</xdr:row>
      <xdr:rowOff>63499</xdr:rowOff>
    </xdr:to>
    <xdr:pic>
      <xdr:nvPicPr>
        <xdr:cNvPr id="14" name="Picture 13">
          <a:extLst>
            <a:ext uri="{FF2B5EF4-FFF2-40B4-BE49-F238E27FC236}">
              <a16:creationId xmlns:a16="http://schemas.microsoft.com/office/drawing/2014/main" id="{56DC89DF-ECA5-E155-4BFD-AC19BAAB1622}"/>
            </a:ext>
          </a:extLst>
        </xdr:cNvPr>
        <xdr:cNvPicPr>
          <a:picLocks noChangeAspect="1"/>
        </xdr:cNvPicPr>
      </xdr:nvPicPr>
      <xdr:blipFill>
        <a:blip xmlns:r="http://schemas.openxmlformats.org/officeDocument/2006/relationships" r:embed="rId3"/>
        <a:stretch>
          <a:fillRect/>
        </a:stretch>
      </xdr:blipFill>
      <xdr:spPr>
        <a:xfrm>
          <a:off x="3414497" y="6333176"/>
          <a:ext cx="3564153" cy="1464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1987892" cy="1352550"/>
    <xdr:pic>
      <xdr:nvPicPr>
        <xdr:cNvPr id="2" name="Picture 1">
          <a:extLst>
            <a:ext uri="{FF2B5EF4-FFF2-40B4-BE49-F238E27FC236}">
              <a16:creationId xmlns:a16="http://schemas.microsoft.com/office/drawing/2014/main" id="{7107BB17-B161-40F9-89CA-F0571574D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987892" cy="13525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E0FF-3A7E-40C9-9F03-B26BCC155DE4}">
  <sheetPr>
    <pageSetUpPr fitToPage="1"/>
  </sheetPr>
  <dimension ref="A1:M51"/>
  <sheetViews>
    <sheetView tabSelected="1" zoomScaleNormal="100" zoomScaleSheetLayoutView="100" workbookViewId="0">
      <selection activeCell="A7" sqref="A7"/>
    </sheetView>
  </sheetViews>
  <sheetFormatPr defaultColWidth="9.21875" defaultRowHeight="14.25" x14ac:dyDescent="0.2"/>
  <cols>
    <col min="1" max="16384" width="9.21875" style="63"/>
  </cols>
  <sheetData>
    <row r="1" spans="4:10" x14ac:dyDescent="0.2">
      <c r="J1" s="64" t="s">
        <v>48</v>
      </c>
    </row>
    <row r="2" spans="4:10" x14ac:dyDescent="0.2">
      <c r="J2" s="64" t="s">
        <v>61</v>
      </c>
    </row>
    <row r="3" spans="4:10" ht="15.6" customHeight="1" x14ac:dyDescent="0.2">
      <c r="D3" s="71" t="s">
        <v>49</v>
      </c>
      <c r="E3" s="71"/>
      <c r="F3" s="71"/>
      <c r="G3" s="71"/>
      <c r="H3" s="71"/>
      <c r="I3" s="71"/>
      <c r="J3" s="71"/>
    </row>
    <row r="4" spans="4:10" x14ac:dyDescent="0.2">
      <c r="D4" s="71"/>
      <c r="E4" s="71"/>
      <c r="F4" s="71"/>
      <c r="G4" s="71"/>
      <c r="H4" s="71"/>
      <c r="I4" s="71"/>
      <c r="J4" s="71"/>
    </row>
    <row r="5" spans="4:10" x14ac:dyDescent="0.2">
      <c r="D5" s="71"/>
      <c r="E5" s="71"/>
      <c r="F5" s="71"/>
      <c r="G5" s="71"/>
      <c r="H5" s="71"/>
      <c r="I5" s="71"/>
      <c r="J5" s="71"/>
    </row>
    <row r="6" spans="4:10" x14ac:dyDescent="0.2">
      <c r="D6" s="71"/>
      <c r="E6" s="71"/>
      <c r="F6" s="71"/>
      <c r="G6" s="71"/>
      <c r="H6" s="71"/>
      <c r="I6" s="71"/>
      <c r="J6" s="71"/>
    </row>
    <row r="30" spans="12:13" ht="15.75" x14ac:dyDescent="0.25">
      <c r="L30"/>
      <c r="M30"/>
    </row>
    <row r="31" spans="12:13" ht="15.75" x14ac:dyDescent="0.25">
      <c r="L31"/>
      <c r="M31"/>
    </row>
    <row r="32" spans="12:13" ht="15.75" x14ac:dyDescent="0.25">
      <c r="L32"/>
      <c r="M32"/>
    </row>
    <row r="33" spans="12:13" ht="15.75" x14ac:dyDescent="0.25">
      <c r="L33"/>
      <c r="M33"/>
    </row>
    <row r="34" spans="12:13" ht="15.75" x14ac:dyDescent="0.25">
      <c r="L34"/>
      <c r="M34"/>
    </row>
    <row r="35" spans="12:13" ht="15.75" x14ac:dyDescent="0.25">
      <c r="L35"/>
      <c r="M35"/>
    </row>
    <row r="36" spans="12:13" ht="15.75" x14ac:dyDescent="0.25">
      <c r="L36"/>
      <c r="M36"/>
    </row>
    <row r="37" spans="12:13" ht="15.75" x14ac:dyDescent="0.25">
      <c r="L37"/>
      <c r="M37"/>
    </row>
    <row r="38" spans="12:13" ht="15.75" x14ac:dyDescent="0.25">
      <c r="L38"/>
      <c r="M38"/>
    </row>
    <row r="39" spans="12:13" ht="15.75" x14ac:dyDescent="0.25">
      <c r="L39"/>
      <c r="M39"/>
    </row>
    <row r="40" spans="12:13" ht="15.75" x14ac:dyDescent="0.25">
      <c r="L40"/>
      <c r="M40"/>
    </row>
    <row r="41" spans="12:13" ht="15.75" x14ac:dyDescent="0.25">
      <c r="L41"/>
      <c r="M41"/>
    </row>
    <row r="42" spans="12:13" ht="15.75" x14ac:dyDescent="0.25">
      <c r="L42"/>
      <c r="M42"/>
    </row>
    <row r="51" spans="1:1" x14ac:dyDescent="0.2">
      <c r="A51" s="63" t="s">
        <v>50</v>
      </c>
    </row>
  </sheetData>
  <sheetProtection algorithmName="SHA-512" hashValue="80rPBeC8U4OUfCXOmZhNuw9CI6IDJwUNkZpHhW8wYz5n7txHO6dnSFsd7FSjhN6wgAo99iF08ibuRn9/vARHOg==" saltValue="e5nh2rP23HaYvk2XB6oEKA==" spinCount="100000" sheet="1" objects="1" scenarios="1"/>
  <mergeCells count="1">
    <mergeCell ref="D3:J6"/>
  </mergeCells>
  <printOptions horizontalCentered="1"/>
  <pageMargins left="0.7" right="0.7" top="0.75" bottom="0.75" header="0.3" footer="0.3"/>
  <pageSetup scale="81" orientation="portrait" horizontalDpi="1200" verticalDpi="1200" r:id="rId1"/>
  <headerFooter>
    <oddFooter>&amp;L&amp;"+,Regular"&amp;11Block Design Collective&amp;C&amp;"+,Regular"&amp;11Section Properties and Wall Weights Calculator&amp;R&amp;"+,Regular"&amp;11Ver. 1.2: May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0608-028B-4FFA-971C-87C4D4FB9C4B}">
  <sheetPr>
    <pageSetUpPr fitToPage="1"/>
  </sheetPr>
  <dimension ref="A2:U55"/>
  <sheetViews>
    <sheetView zoomScaleNormal="100" zoomScaleSheetLayoutView="100" workbookViewId="0">
      <selection activeCell="I2" sqref="I2"/>
    </sheetView>
  </sheetViews>
  <sheetFormatPr defaultColWidth="9.21875" defaultRowHeight="15.75" x14ac:dyDescent="0.25"/>
  <cols>
    <col min="1" max="1" width="12.109375" style="21" customWidth="1"/>
    <col min="2" max="2" width="10.6640625" style="21" customWidth="1"/>
    <col min="3" max="3" width="9.21875" style="21"/>
    <col min="4" max="6" width="9.21875" style="21" hidden="1" customWidth="1"/>
    <col min="7" max="7" width="11.21875" style="21" customWidth="1"/>
    <col min="8" max="10" width="9.21875" style="21"/>
    <col min="11" max="11" width="9.88671875" style="21" customWidth="1"/>
    <col min="12" max="12" width="9.21875" style="21"/>
    <col min="13" max="13" width="6.88671875" style="21" customWidth="1"/>
    <col min="14" max="16384" width="9.21875" style="21"/>
  </cols>
  <sheetData>
    <row r="2" spans="1:14" ht="16.5" thickBot="1" x14ac:dyDescent="0.3"/>
    <row r="3" spans="1:14" ht="17.25" thickTop="1" thickBot="1" x14ac:dyDescent="0.3">
      <c r="H3" s="23" t="s">
        <v>11</v>
      </c>
      <c r="I3" s="66">
        <v>8</v>
      </c>
      <c r="K3" s="75" t="str">
        <f>I6&amp;" Section Properties"</f>
        <v>Net Section Properties</v>
      </c>
      <c r="L3" s="76"/>
      <c r="M3" s="77"/>
    </row>
    <row r="4" spans="1:14" ht="19.5" thickTop="1" thickBot="1" x14ac:dyDescent="0.3">
      <c r="H4" s="23" t="s">
        <v>21</v>
      </c>
      <c r="I4" s="66">
        <v>135</v>
      </c>
      <c r="K4" s="60" t="str">
        <f>IF(I6="Net","A_net","A_avg")</f>
        <v>A_net</v>
      </c>
      <c r="L4" s="61">
        <f>IF($I$8="Solid",H$17,IF($I$5="No Grout",IF($I$9="Face Shell",H$15,H$16),_xlfn.XLOOKUP(I5,B18:B32,H18:H32)))</f>
        <v>61.951171875</v>
      </c>
      <c r="M4" s="62" t="s">
        <v>25</v>
      </c>
    </row>
    <row r="5" spans="1:14" ht="18.75" thickTop="1" thickBot="1" x14ac:dyDescent="0.3">
      <c r="H5" s="23" t="s">
        <v>12</v>
      </c>
      <c r="I5" s="66">
        <v>16</v>
      </c>
      <c r="K5" s="54" t="str">
        <f>IF(I6="Net","I_net","I_avg")</f>
        <v>I_net</v>
      </c>
      <c r="L5" s="55">
        <f>IF($I$8="Solid",I$17,IF($I$5="No Grout",IF($I$9="Face Shell",I$15,I$16),_xlfn.XLOOKUP(I5,B18:B32,I18:I32)))</f>
        <v>378.64572906494141</v>
      </c>
      <c r="M5" s="56" t="s">
        <v>26</v>
      </c>
    </row>
    <row r="6" spans="1:14" ht="18.75" thickTop="1" thickBot="1" x14ac:dyDescent="0.3">
      <c r="H6" s="23" t="s">
        <v>13</v>
      </c>
      <c r="I6" s="66" t="s">
        <v>60</v>
      </c>
      <c r="K6" s="54" t="str">
        <f>IF(I6="Net","S_net","S_avg")</f>
        <v>S_net</v>
      </c>
      <c r="L6" s="55">
        <f>IF($I$8="Solid",J$17,IF($I$5="No Grout",IF($I$9="Face Shell",J$15,J$16),_xlfn.XLOOKUP(I5,B18:B32,J18:J32)))</f>
        <v>99.316912541623978</v>
      </c>
      <c r="M6" s="56" t="s">
        <v>28</v>
      </c>
    </row>
    <row r="7" spans="1:14" ht="17.25" thickTop="1" thickBot="1" x14ac:dyDescent="0.3">
      <c r="H7" s="23" t="s">
        <v>14</v>
      </c>
      <c r="I7" s="66" t="s">
        <v>15</v>
      </c>
      <c r="K7" s="54" t="str">
        <f>IF(I6="Net","r_net","r_avg")</f>
        <v>r_net</v>
      </c>
      <c r="L7" s="57">
        <f>IF($I$8="Solid",K$17,IF($I$5="No Grout",IF($I$9="Face Shell",K$15,K$16),_xlfn.XLOOKUP(I5,B18:B32,K18:K32)))</f>
        <v>2.4722464862243734</v>
      </c>
      <c r="M7" s="56" t="s">
        <v>0</v>
      </c>
    </row>
    <row r="8" spans="1:14" ht="18.75" thickTop="1" thickBot="1" x14ac:dyDescent="0.3">
      <c r="H8" s="23" t="s">
        <v>9</v>
      </c>
      <c r="I8" s="66" t="s">
        <v>1</v>
      </c>
      <c r="K8" s="58" t="s">
        <v>29</v>
      </c>
      <c r="L8" s="35">
        <f>IF($I$8="Solid",G$17,IF($I$5="No Grout",IF($I$9="Face Shell",G$15,G$16),_xlfn.XLOOKUP(I5,B18:B32,G18:G32)))</f>
        <v>63</v>
      </c>
      <c r="M8" s="59" t="s">
        <v>27</v>
      </c>
    </row>
    <row r="9" spans="1:14" ht="17.25" thickTop="1" thickBot="1" x14ac:dyDescent="0.3">
      <c r="H9" s="23" t="s">
        <v>10</v>
      </c>
      <c r="I9" s="66" t="s">
        <v>3</v>
      </c>
    </row>
    <row r="10" spans="1:14" ht="16.5" thickTop="1" x14ac:dyDescent="0.25"/>
    <row r="11" spans="1:14" x14ac:dyDescent="0.25">
      <c r="H11" s="22"/>
    </row>
    <row r="12" spans="1:14" x14ac:dyDescent="0.25">
      <c r="H12" s="78" t="str">
        <f>I6&amp;" Section Properties"</f>
        <v>Net Section Properties</v>
      </c>
      <c r="I12" s="78"/>
      <c r="J12" s="78"/>
      <c r="K12" s="78"/>
      <c r="N12"/>
    </row>
    <row r="13" spans="1:14" ht="17.100000000000001" customHeight="1" x14ac:dyDescent="0.25">
      <c r="A13" s="72" t="s">
        <v>23</v>
      </c>
      <c r="B13" s="72" t="s">
        <v>5</v>
      </c>
      <c r="C13" s="72" t="s">
        <v>6</v>
      </c>
      <c r="D13" s="72" t="s">
        <v>18</v>
      </c>
      <c r="E13" s="72" t="s">
        <v>19</v>
      </c>
      <c r="F13" s="72" t="s">
        <v>20</v>
      </c>
      <c r="G13" s="72" t="s">
        <v>24</v>
      </c>
      <c r="H13" s="31" t="str">
        <f>K4</f>
        <v>A_net</v>
      </c>
      <c r="I13" s="31" t="str">
        <f>K5</f>
        <v>I_net</v>
      </c>
      <c r="J13" s="31" t="str">
        <f>K6</f>
        <v>S_net</v>
      </c>
      <c r="K13" s="31" t="str">
        <f>K7</f>
        <v>r_net</v>
      </c>
      <c r="N13" s="26"/>
    </row>
    <row r="14" spans="1:14" ht="18" thickBot="1" x14ac:dyDescent="0.3">
      <c r="A14" s="74"/>
      <c r="B14" s="74"/>
      <c r="C14" s="73"/>
      <c r="D14" s="73"/>
      <c r="E14" s="73"/>
      <c r="F14" s="73"/>
      <c r="G14" s="74"/>
      <c r="H14" s="37" t="s">
        <v>25</v>
      </c>
      <c r="I14" s="37" t="s">
        <v>26</v>
      </c>
      <c r="J14" s="37" t="s">
        <v>28</v>
      </c>
      <c r="K14" s="37" t="s">
        <v>0</v>
      </c>
      <c r="L14" s="27"/>
    </row>
    <row r="15" spans="1:14" x14ac:dyDescent="0.25">
      <c r="A15" s="27" t="s">
        <v>1</v>
      </c>
      <c r="B15" s="27" t="s">
        <v>2</v>
      </c>
      <c r="C15" s="27" t="s">
        <v>40</v>
      </c>
      <c r="D15" s="28">
        <f>((($H$39*2*$H$37)+3*$H$38*($H$36-2*$H$37))*($H$40/1728))*(12/($H$39+$H$41))*(12/($H$40+$H$41))</f>
        <v>0.27023824055989576</v>
      </c>
      <c r="E15" s="28">
        <f>($H$41*(2*$H$37*($H$40+$H$41)+2*$H$37*$H$39))*(1/1728)*$H$42*(12/($H$39+$H$41))*(12/($H$40+$H$41))</f>
        <v>1.8024444580078125</v>
      </c>
      <c r="F15" s="28">
        <v>0</v>
      </c>
      <c r="G15" s="29">
        <f t="shared" ref="G15:G32" si="0">ROUNDUP((D15*$I$4)+E15+F15,0)</f>
        <v>39</v>
      </c>
      <c r="H15" s="30">
        <f>IF($I$7="Vertical",IF($I$6="Net",'Vertical Section Properties'!D4,'Vertical Section Properties'!H4),IF($I$6="Net",'Horizontal Section Properties'!D4,'Horizontal Section Properties'!H4))</f>
        <v>30</v>
      </c>
      <c r="I15" s="30">
        <f>IF($I$7="Vertical",IF($I$6="Net",'Vertical Section Properties'!E4,'Vertical Section Properties'!I4),IF($I$6="Net",'Horizontal Section Properties'!E4,'Horizontal Section Properties'!I4))</f>
        <v>308.7109375</v>
      </c>
      <c r="J15" s="30">
        <f>IF($I$7="Vertical",IF($I$6="Net",'Vertical Section Properties'!F4,'Vertical Section Properties'!J4),IF($I$6="Net",'Horizontal Section Properties'!F4,'Horizontal Section Properties'!J4))</f>
        <v>80.973360655737707</v>
      </c>
      <c r="K15" s="65">
        <f>IF($I$7="Vertical",IF($I$6="Net",'Vertical Section Properties'!G4,'Vertical Section Properties'!K4),IF($I$6="Net",'Horizontal Section Properties'!G4,'Horizontal Section Properties'!K4))</f>
        <v>3.207859813541317</v>
      </c>
      <c r="L15" s="29"/>
    </row>
    <row r="16" spans="1:14" x14ac:dyDescent="0.25">
      <c r="A16" s="27" t="s">
        <v>1</v>
      </c>
      <c r="B16" s="27" t="s">
        <v>2</v>
      </c>
      <c r="C16" s="27" t="s">
        <v>3</v>
      </c>
      <c r="D16" s="28">
        <f>((($H$39*2*$H$37)+3*$H$38*($H$36-2*$H$37))*($H$40/1728))*(12/($H$39+$H$41))*(12/($H$40+$H$41))</f>
        <v>0.27023824055989576</v>
      </c>
      <c r="E16" s="28">
        <f>($H$41*(2*$H$37*($H$40+$H$41)+2*$H$37*$H$39+3*$H$38*($H$36-2*$H$37)))*(1/1728)*$H$42*(12/($H$39+$H$41))*(12/($H$40+$H$41))</f>
        <v>2.2716522216796871</v>
      </c>
      <c r="F16" s="28">
        <v>0</v>
      </c>
      <c r="G16" s="29">
        <f t="shared" si="0"/>
        <v>39</v>
      </c>
      <c r="H16" s="30">
        <f>IF($I$7="Vertical",IF($I$6="Net",'Vertical Section Properties'!D5,'Vertical Section Properties'!H5),IF($I$6="Net",'Horizontal Section Properties'!D5,'Horizontal Section Properties'!H5))</f>
        <v>41.53125</v>
      </c>
      <c r="I16" s="30">
        <f>IF($I$7="Vertical",IF($I$6="Net",'Vertical Section Properties'!E5,'Vertical Section Properties'!I5),IF($I$6="Net",'Horizontal Section Properties'!E5,'Horizontal Section Properties'!I5))</f>
        <v>333.9505615234375</v>
      </c>
      <c r="J16" s="30">
        <f>IF($I$7="Vertical",IF($I$6="Net",'Vertical Section Properties'!F5,'Vertical Section Properties'!J5),IF($I$6="Net",'Horizontal Section Properties'!F5,'Horizontal Section Properties'!J5))</f>
        <v>87.593589907786878</v>
      </c>
      <c r="K16" s="65">
        <f>IF($I$7="Vertical",IF($I$6="Net",'Vertical Section Properties'!G5,'Vertical Section Properties'!K5),IF($I$6="Net",'Horizontal Section Properties'!G5,'Horizontal Section Properties'!K5))</f>
        <v>2.8356562825665761</v>
      </c>
      <c r="L16" s="29"/>
    </row>
    <row r="17" spans="1:12" x14ac:dyDescent="0.25">
      <c r="A17" s="27" t="s">
        <v>4</v>
      </c>
      <c r="B17" s="27" t="s">
        <v>2</v>
      </c>
      <c r="C17" s="27" t="s">
        <v>3</v>
      </c>
      <c r="D17" s="28">
        <f>($H$36*$H$40*$H$39)*(1/1728)*(12/($H$39+$H$41))*(12/($H$40+$H$41))</f>
        <v>0.59143702189127589</v>
      </c>
      <c r="E17" s="28">
        <f>($H$41*($H$36*$H$39+8*$H$36))*(1/1728)*$H$42*(12/($H$39+$H$41))*(12/($H$40+$H$41))</f>
        <v>5.4974555969238281</v>
      </c>
      <c r="F17" s="28">
        <v>0</v>
      </c>
      <c r="G17" s="29">
        <f t="shared" si="0"/>
        <v>86</v>
      </c>
      <c r="H17" s="30">
        <f>IF($I$7="Vertical",IF($I$6="Net",'Vertical Section Properties'!D6,'Vertical Section Properties'!H6),IF($I$6="Net",'Horizontal Section Properties'!D6,'Horizontal Section Properties'!H6))</f>
        <v>91.5</v>
      </c>
      <c r="I17" s="30">
        <f>IF($I$7="Vertical",IF($I$6="Net",'Vertical Section Properties'!E6,'Vertical Section Properties'!I6),IF($I$6="Net",'Horizontal Section Properties'!E6,'Horizontal Section Properties'!I6))</f>
        <v>443.322265625</v>
      </c>
      <c r="J17" s="30">
        <f>IF($I$7="Vertical",IF($I$6="Net",'Vertical Section Properties'!F6,'Vertical Section Properties'!J6),IF($I$6="Net",'Horizontal Section Properties'!F6,'Horizontal Section Properties'!J6))</f>
        <v>116.28125</v>
      </c>
      <c r="K17" s="65">
        <f>IF($I$7="Vertical",IF($I$6="Net",'Vertical Section Properties'!G6,'Vertical Section Properties'!K6),IF($I$6="Net",'Horizontal Section Properties'!G6,'Horizontal Section Properties'!K6))</f>
        <v>2.2011479012854482</v>
      </c>
      <c r="L17" s="29"/>
    </row>
    <row r="18" spans="1:12" x14ac:dyDescent="0.25">
      <c r="A18" s="27" t="s">
        <v>1</v>
      </c>
      <c r="B18" s="27">
        <v>8</v>
      </c>
      <c r="C18" s="27" t="s">
        <v>3</v>
      </c>
      <c r="D18" s="28">
        <f t="shared" ref="D18:D32" si="1">((($H$39*2*$H$37)+3*$H$38*($H$36-2*$H$37))*($H$40/1728))*(12/($H$39+$H$41))*(12/($H$40+$H$41))</f>
        <v>0.27023824055989576</v>
      </c>
      <c r="E18" s="28">
        <f>($H$41*(2*$H$37*($H$40+$H$41)+2*$H$37*$H$39+3*$H$38*($H$36-2*$H$37)))*(1/1728)*$H$42*(12/($H$39+$H$41))*(12/($H$40+$H$41))</f>
        <v>2.2716522216796871</v>
      </c>
      <c r="F18" s="28">
        <f t="shared" ref="F18:F32" si="2">0.5*($H$39-3*$H$38)*($H$36-2*$H$37)*($H$43/1728)*(144/$B18)</f>
        <v>47.179361979166664</v>
      </c>
      <c r="G18" s="29">
        <f t="shared" si="0"/>
        <v>86</v>
      </c>
      <c r="H18" s="30">
        <f>IF($I$7="Vertical",IF($I$6="Net",'Vertical Section Properties'!D7,'Vertical Section Properties'!H7),IF($I$6="Net",'Horizontal Section Properties'!D7,'Horizontal Section Properties'!H7))</f>
        <v>91.5</v>
      </c>
      <c r="I18" s="30">
        <f>IF($I$7="Vertical",IF($I$6="Net",'Vertical Section Properties'!E7,'Vertical Section Properties'!I7),IF($I$6="Net",'Horizontal Section Properties'!E7,'Horizontal Section Properties'!I7))</f>
        <v>443.322265625</v>
      </c>
      <c r="J18" s="30">
        <f>IF($I$7="Vertical",IF($I$6="Net",'Vertical Section Properties'!F7,'Vertical Section Properties'!J7),IF($I$6="Net",'Horizontal Section Properties'!F7,'Horizontal Section Properties'!J7))</f>
        <v>116.28125</v>
      </c>
      <c r="K18" s="65">
        <f>IF($I$7="Vertical",IF($I$6="Net",'Vertical Section Properties'!G7,'Vertical Section Properties'!K7),IF($I$6="Net",'Horizontal Section Properties'!G7,'Horizontal Section Properties'!K7))</f>
        <v>2.2011479012854482</v>
      </c>
      <c r="L18" s="29"/>
    </row>
    <row r="19" spans="1:12" x14ac:dyDescent="0.25">
      <c r="A19" s="27" t="s">
        <v>1</v>
      </c>
      <c r="B19" s="27">
        <f>(B18+8)</f>
        <v>16</v>
      </c>
      <c r="C19" s="27" t="s">
        <v>40</v>
      </c>
      <c r="D19" s="28">
        <f t="shared" si="1"/>
        <v>0.27023824055989576</v>
      </c>
      <c r="E19" s="28">
        <f t="shared" ref="E19:E32" si="3">($H$41*(2*$H$37*($H$40+$H$41)+2*$H$37*$H$39))*(1/1728)*$H$42*(12/($H$39+$H$41))*(12/($H$40+$H$41))+((2*$H$38*($H$36-2*$H$37))*$H$41*(1/1728)*$H$42*(144/(($H$40+$H$41)*$B19)))</f>
        <v>2.1152496337890625</v>
      </c>
      <c r="F19" s="28">
        <f t="shared" si="2"/>
        <v>23.589680989583332</v>
      </c>
      <c r="G19" s="29">
        <f t="shared" si="0"/>
        <v>63</v>
      </c>
      <c r="H19" s="30">
        <f>IF($I$7="Vertical",IF($I$6="Net",'Vertical Section Properties'!D8,'Vertical Section Properties'!H8),IF($I$6="Net",'Horizontal Section Properties'!D8,'Horizontal Section Properties'!H8))</f>
        <v>61.951171875</v>
      </c>
      <c r="I19" s="30">
        <f>IF($I$7="Vertical",IF($I$6="Net",'Vertical Section Properties'!E8,'Vertical Section Properties'!I8),IF($I$6="Net",'Horizontal Section Properties'!E8,'Horizontal Section Properties'!I8))</f>
        <v>378.64572906494141</v>
      </c>
      <c r="J19" s="30">
        <f>IF($I$7="Vertical",IF($I$6="Net",'Vertical Section Properties'!F8,'Vertical Section Properties'!J8),IF($I$6="Net",'Horizontal Section Properties'!F8,'Horizontal Section Properties'!J8))</f>
        <v>99.316912541623978</v>
      </c>
      <c r="K19" s="65">
        <f>IF($I$7="Vertical",IF($I$6="Net",'Vertical Section Properties'!G8,'Vertical Section Properties'!K8),IF($I$6="Net",'Horizontal Section Properties'!G8,'Horizontal Section Properties'!K8))</f>
        <v>2.4722464862243734</v>
      </c>
      <c r="L19" s="29"/>
    </row>
    <row r="20" spans="1:12" x14ac:dyDescent="0.25">
      <c r="A20" s="27" t="s">
        <v>1</v>
      </c>
      <c r="B20" s="27">
        <f t="shared" ref="B20:B32" si="4">(B19+8)</f>
        <v>24</v>
      </c>
      <c r="C20" s="27" t="s">
        <v>40</v>
      </c>
      <c r="D20" s="28">
        <f t="shared" si="1"/>
        <v>0.27023824055989576</v>
      </c>
      <c r="E20" s="28">
        <f t="shared" si="3"/>
        <v>2.010981241861979</v>
      </c>
      <c r="F20" s="28">
        <f t="shared" si="2"/>
        <v>15.726453993055554</v>
      </c>
      <c r="G20" s="29">
        <f t="shared" si="0"/>
        <v>55</v>
      </c>
      <c r="H20" s="30">
        <f>IF($I$7="Vertical",IF($I$6="Net",'Vertical Section Properties'!D9,'Vertical Section Properties'!H9),IF($I$6="Net",'Horizontal Section Properties'!D9,'Horizontal Section Properties'!H9))</f>
        <v>51.30078125</v>
      </c>
      <c r="I20" s="30">
        <f>IF($I$7="Vertical",IF($I$6="Net",'Vertical Section Properties'!E9,'Vertical Section Properties'!I9),IF($I$6="Net",'Horizontal Section Properties'!E9,'Horizontal Section Properties'!I9))</f>
        <v>355.33413187662762</v>
      </c>
      <c r="J20" s="30">
        <f>IF($I$7="Vertical",IF($I$6="Net",'Vertical Section Properties'!F9,'Vertical Section Properties'!J9),IF($I$6="Net",'Horizontal Section Properties'!F9,'Horizontal Section Properties'!J9))</f>
        <v>93.202395246328564</v>
      </c>
      <c r="K20" s="65">
        <f>IF($I$7="Vertical",IF($I$6="Net",'Vertical Section Properties'!G9,'Vertical Section Properties'!K9),IF($I$6="Net",'Horizontal Section Properties'!G9,'Horizontal Section Properties'!K9))</f>
        <v>2.6318217608510479</v>
      </c>
      <c r="L20" s="29"/>
    </row>
    <row r="21" spans="1:12" x14ac:dyDescent="0.25">
      <c r="A21" s="27" t="s">
        <v>1</v>
      </c>
      <c r="B21" s="27">
        <f t="shared" si="4"/>
        <v>32</v>
      </c>
      <c r="C21" s="27" t="s">
        <v>40</v>
      </c>
      <c r="D21" s="28">
        <f t="shared" si="1"/>
        <v>0.27023824055989576</v>
      </c>
      <c r="E21" s="28">
        <f t="shared" si="3"/>
        <v>1.9588470458984375</v>
      </c>
      <c r="F21" s="28">
        <f t="shared" si="2"/>
        <v>11.794840494791666</v>
      </c>
      <c r="G21" s="29">
        <f t="shared" si="0"/>
        <v>51</v>
      </c>
      <c r="H21" s="30">
        <f>IF($I$7="Vertical",IF($I$6="Net",'Vertical Section Properties'!D10,'Vertical Section Properties'!H10),IF($I$6="Net",'Horizontal Section Properties'!D10,'Horizontal Section Properties'!H10))</f>
        <v>45.9755859375</v>
      </c>
      <c r="I21" s="30">
        <f>IF($I$7="Vertical",IF($I$6="Net",'Vertical Section Properties'!E10,'Vertical Section Properties'!I10),IF($I$6="Net",'Horizontal Section Properties'!E10,'Horizontal Section Properties'!I10))</f>
        <v>343.6783332824707</v>
      </c>
      <c r="J21" s="30">
        <f>IF($I$7="Vertical",IF($I$6="Net",'Vertical Section Properties'!F10,'Vertical Section Properties'!J10),IF($I$6="Net",'Horizontal Section Properties'!F10,'Horizontal Section Properties'!J10))</f>
        <v>90.145136598680836</v>
      </c>
      <c r="K21" s="65">
        <f>IF($I$7="Vertical",IF($I$6="Net",'Vertical Section Properties'!G10,'Vertical Section Properties'!K10),IF($I$6="Net",'Horizontal Section Properties'!G10,'Horizontal Section Properties'!K10))</f>
        <v>2.7340876951910706</v>
      </c>
      <c r="L21" s="29"/>
    </row>
    <row r="22" spans="1:12" x14ac:dyDescent="0.25">
      <c r="A22" s="27" t="s">
        <v>1</v>
      </c>
      <c r="B22" s="27">
        <f t="shared" si="4"/>
        <v>40</v>
      </c>
      <c r="C22" s="27" t="s">
        <v>40</v>
      </c>
      <c r="D22" s="28">
        <f t="shared" si="1"/>
        <v>0.27023824055989576</v>
      </c>
      <c r="E22" s="28">
        <f t="shared" si="3"/>
        <v>1.9275665283203125</v>
      </c>
      <c r="F22" s="28">
        <f t="shared" si="2"/>
        <v>9.4358723958333321</v>
      </c>
      <c r="G22" s="29">
        <f t="shared" si="0"/>
        <v>48</v>
      </c>
      <c r="H22" s="30">
        <f>IF($I$7="Vertical",IF($I$6="Net",'Vertical Section Properties'!D11,'Vertical Section Properties'!H11),IF($I$6="Net",'Horizontal Section Properties'!D11,'Horizontal Section Properties'!H11))</f>
        <v>42.780468749999997</v>
      </c>
      <c r="I22" s="30">
        <f>IF($I$7="Vertical",IF($I$6="Net",'Vertical Section Properties'!E11,'Vertical Section Properties'!I11),IF($I$6="Net",'Horizontal Section Properties'!E11,'Horizontal Section Properties'!I11))</f>
        <v>336.68485412597659</v>
      </c>
      <c r="J22" s="30">
        <f>IF($I$7="Vertical",IF($I$6="Net",'Vertical Section Properties'!F11,'Vertical Section Properties'!J11),IF($I$6="Net",'Horizontal Section Properties'!F11,'Horizontal Section Properties'!J11))</f>
        <v>88.310781410092218</v>
      </c>
      <c r="K22" s="65">
        <f>IF($I$7="Vertical",IF($I$6="Net",'Vertical Section Properties'!G11,'Vertical Section Properties'!K11),IF($I$6="Net",'Horizontal Section Properties'!G11,'Horizontal Section Properties'!K11))</f>
        <v>2.8053627142940134</v>
      </c>
      <c r="L22" s="29"/>
    </row>
    <row r="23" spans="1:12" x14ac:dyDescent="0.25">
      <c r="A23" s="27" t="s">
        <v>1</v>
      </c>
      <c r="B23" s="27">
        <f t="shared" si="4"/>
        <v>48</v>
      </c>
      <c r="C23" s="27" t="s">
        <v>40</v>
      </c>
      <c r="D23" s="28">
        <f t="shared" si="1"/>
        <v>0.27023824055989576</v>
      </c>
      <c r="E23" s="28">
        <f t="shared" si="3"/>
        <v>1.9067128499348958</v>
      </c>
      <c r="F23" s="28">
        <f t="shared" si="2"/>
        <v>7.8632269965277768</v>
      </c>
      <c r="G23" s="29">
        <f t="shared" si="0"/>
        <v>47</v>
      </c>
      <c r="H23" s="30">
        <f>IF($I$7="Vertical",IF($I$6="Net",'Vertical Section Properties'!D12,'Vertical Section Properties'!H12),IF($I$6="Net",'Horizontal Section Properties'!D12,'Horizontal Section Properties'!H12))</f>
        <v>40.650390625</v>
      </c>
      <c r="I23" s="30">
        <f>IF($I$7="Vertical",IF($I$6="Net",'Vertical Section Properties'!E12,'Vertical Section Properties'!I12),IF($I$6="Net",'Horizontal Section Properties'!E12,'Horizontal Section Properties'!I12))</f>
        <v>332.02253468831378</v>
      </c>
      <c r="J23" s="30">
        <f>IF($I$7="Vertical",IF($I$6="Net",'Vertical Section Properties'!F12,'Vertical Section Properties'!J12),IF($I$6="Net",'Horizontal Section Properties'!F12,'Horizontal Section Properties'!J12))</f>
        <v>87.087877951033121</v>
      </c>
      <c r="K23" s="65">
        <f>IF($I$7="Vertical",IF($I$6="Net",'Vertical Section Properties'!G12,'Vertical Section Properties'!K12),IF($I$6="Net",'Horizontal Section Properties'!G12,'Horizontal Section Properties'!K12))</f>
        <v>2.8579288906239091</v>
      </c>
      <c r="L23" s="29"/>
    </row>
    <row r="24" spans="1:12" x14ac:dyDescent="0.25">
      <c r="A24" s="27" t="s">
        <v>1</v>
      </c>
      <c r="B24" s="27">
        <f t="shared" si="4"/>
        <v>56</v>
      </c>
      <c r="C24" s="27" t="s">
        <v>40</v>
      </c>
      <c r="D24" s="28">
        <f t="shared" si="1"/>
        <v>0.27023824055989576</v>
      </c>
      <c r="E24" s="28">
        <f t="shared" si="3"/>
        <v>1.8918173653738839</v>
      </c>
      <c r="F24" s="28">
        <f t="shared" si="2"/>
        <v>6.739908854166667</v>
      </c>
      <c r="G24" s="29">
        <f t="shared" si="0"/>
        <v>46</v>
      </c>
      <c r="H24" s="30">
        <f>IF($I$7="Vertical",IF($I$6="Net",'Vertical Section Properties'!D13,'Vertical Section Properties'!H13),IF($I$6="Net",'Horizontal Section Properties'!D13,'Horizontal Section Properties'!H13))</f>
        <v>39.12890625</v>
      </c>
      <c r="I24" s="30">
        <f>IF($I$7="Vertical",IF($I$6="Net",'Vertical Section Properties'!E13,'Vertical Section Properties'!I13),IF($I$6="Net",'Horizontal Section Properties'!E13,'Horizontal Section Properties'!I13))</f>
        <v>328.69230651855469</v>
      </c>
      <c r="J24" s="30">
        <f>IF($I$7="Vertical",IF($I$6="Net",'Vertical Section Properties'!F13,'Vertical Section Properties'!J13),IF($I$6="Net",'Horizontal Section Properties'!F13,'Horizontal Section Properties'!J13))</f>
        <v>86.214375480276644</v>
      </c>
      <c r="K24" s="65">
        <f>IF($I$7="Vertical",IF($I$6="Net",'Vertical Section Properties'!G13,'Vertical Section Properties'!K13),IF($I$6="Net",'Horizontal Section Properties'!G13,'Horizontal Section Properties'!K13))</f>
        <v>2.8983172073457601</v>
      </c>
      <c r="L24" s="29"/>
    </row>
    <row r="25" spans="1:12" x14ac:dyDescent="0.25">
      <c r="A25" s="27" t="s">
        <v>1</v>
      </c>
      <c r="B25" s="27">
        <f t="shared" si="4"/>
        <v>64</v>
      </c>
      <c r="C25" s="27" t="s">
        <v>40</v>
      </c>
      <c r="D25" s="28">
        <f t="shared" si="1"/>
        <v>0.27023824055989576</v>
      </c>
      <c r="E25" s="28">
        <f t="shared" si="3"/>
        <v>1.880645751953125</v>
      </c>
      <c r="F25" s="28">
        <f t="shared" si="2"/>
        <v>5.897420247395833</v>
      </c>
      <c r="G25" s="29">
        <f t="shared" si="0"/>
        <v>45</v>
      </c>
      <c r="H25" s="30">
        <f>IF($I$7="Vertical",IF($I$6="Net",'Vertical Section Properties'!D14,'Vertical Section Properties'!H14),IF($I$6="Net",'Horizontal Section Properties'!D14,'Horizontal Section Properties'!H14))</f>
        <v>37.98779296875</v>
      </c>
      <c r="I25" s="30">
        <f>IF($I$7="Vertical",IF($I$6="Net",'Vertical Section Properties'!E14,'Vertical Section Properties'!I14),IF($I$6="Net",'Horizontal Section Properties'!E14,'Horizontal Section Properties'!I14))</f>
        <v>326.19463539123535</v>
      </c>
      <c r="J25" s="30">
        <f>IF($I$7="Vertical",IF($I$6="Net",'Vertical Section Properties'!F14,'Vertical Section Properties'!J14),IF($I$6="Net",'Horizontal Section Properties'!F14,'Horizontal Section Properties'!J14))</f>
        <v>85.559248627209271</v>
      </c>
      <c r="K25" s="65">
        <f>IF($I$7="Vertical",IF($I$6="Net",'Vertical Section Properties'!G14,'Vertical Section Properties'!K14),IF($I$6="Net",'Horizontal Section Properties'!G14,'Horizontal Section Properties'!K14))</f>
        <v>2.930328951653272</v>
      </c>
      <c r="L25" s="29"/>
    </row>
    <row r="26" spans="1:12" x14ac:dyDescent="0.25">
      <c r="A26" s="27" t="s">
        <v>1</v>
      </c>
      <c r="B26" s="27">
        <f t="shared" si="4"/>
        <v>72</v>
      </c>
      <c r="C26" s="27" t="s">
        <v>40</v>
      </c>
      <c r="D26" s="28">
        <f t="shared" si="1"/>
        <v>0.27023824055989576</v>
      </c>
      <c r="E26" s="28">
        <f t="shared" si="3"/>
        <v>1.8719567192925348</v>
      </c>
      <c r="F26" s="28">
        <f t="shared" si="2"/>
        <v>5.2421513310185182</v>
      </c>
      <c r="G26" s="29">
        <f t="shared" si="0"/>
        <v>44</v>
      </c>
      <c r="H26" s="30">
        <f>IF($I$7="Vertical",IF($I$6="Net",'Vertical Section Properties'!D15,'Vertical Section Properties'!H15),IF($I$6="Net",'Horizontal Section Properties'!D15,'Horizontal Section Properties'!H15))</f>
        <v>37.100260416666664</v>
      </c>
      <c r="I26" s="30">
        <f>IF($I$7="Vertical",IF($I$6="Net",'Vertical Section Properties'!E15,'Vertical Section Properties'!I15),IF($I$6="Net",'Horizontal Section Properties'!E15,'Horizontal Section Properties'!I15))</f>
        <v>324.25200229220923</v>
      </c>
      <c r="J26" s="30">
        <f>IF($I$7="Vertical",IF($I$6="Net",'Vertical Section Properties'!F15,'Vertical Section Properties'!J15),IF($I$6="Net",'Horizontal Section Properties'!F15,'Horizontal Section Properties'!J15))</f>
        <v>85.049705519267988</v>
      </c>
      <c r="K26" s="65">
        <f>IF($I$7="Vertical",IF($I$6="Net",'Vertical Section Properties'!G15,'Vertical Section Properties'!K15),IF($I$6="Net",'Horizontal Section Properties'!G15,'Horizontal Section Properties'!K15))</f>
        <v>2.9563296171782709</v>
      </c>
      <c r="L26" s="29"/>
    </row>
    <row r="27" spans="1:12" x14ac:dyDescent="0.25">
      <c r="A27" s="27" t="s">
        <v>1</v>
      </c>
      <c r="B27" s="27">
        <f t="shared" si="4"/>
        <v>80</v>
      </c>
      <c r="C27" s="27" t="s">
        <v>40</v>
      </c>
      <c r="D27" s="28">
        <f t="shared" si="1"/>
        <v>0.27023824055989576</v>
      </c>
      <c r="E27" s="28">
        <f t="shared" si="3"/>
        <v>1.8650054931640625</v>
      </c>
      <c r="F27" s="28">
        <f t="shared" si="2"/>
        <v>4.7179361979166661</v>
      </c>
      <c r="G27" s="29">
        <f t="shared" si="0"/>
        <v>44</v>
      </c>
      <c r="H27" s="30">
        <f>IF($I$7="Vertical",IF($I$6="Net",'Vertical Section Properties'!D16,'Vertical Section Properties'!H16),IF($I$6="Net",'Horizontal Section Properties'!D16,'Horizontal Section Properties'!H16))</f>
        <v>36.390234374999999</v>
      </c>
      <c r="I27" s="30">
        <f>IF($I$7="Vertical",IF($I$6="Net",'Vertical Section Properties'!E16,'Vertical Section Properties'!I16),IF($I$6="Net",'Horizontal Section Properties'!E16,'Horizontal Section Properties'!I16))</f>
        <v>322.69789581298829</v>
      </c>
      <c r="J27" s="30">
        <f>IF($I$7="Vertical",IF($I$6="Net",'Vertical Section Properties'!F16,'Vertical Section Properties'!J16),IF($I$6="Net",'Horizontal Section Properties'!F16,'Horizontal Section Properties'!J16))</f>
        <v>84.642071032914956</v>
      </c>
      <c r="K27" s="65">
        <f>IF($I$7="Vertical",IF($I$6="Net",'Vertical Section Properties'!G16,'Vertical Section Properties'!K16),IF($I$6="Net",'Horizontal Section Properties'!G16,'Horizontal Section Properties'!K16))</f>
        <v>2.9778693545804109</v>
      </c>
      <c r="L27" s="29"/>
    </row>
    <row r="28" spans="1:12" x14ac:dyDescent="0.25">
      <c r="A28" s="27" t="s">
        <v>1</v>
      </c>
      <c r="B28" s="27">
        <f t="shared" si="4"/>
        <v>88</v>
      </c>
      <c r="C28" s="27" t="s">
        <v>40</v>
      </c>
      <c r="D28" s="28">
        <f t="shared" si="1"/>
        <v>0.27023824055989576</v>
      </c>
      <c r="E28" s="28">
        <f t="shared" si="3"/>
        <v>1.859318126331676</v>
      </c>
      <c r="F28" s="28">
        <f t="shared" si="2"/>
        <v>4.2890329071969697</v>
      </c>
      <c r="G28" s="29">
        <f t="shared" si="0"/>
        <v>43</v>
      </c>
      <c r="H28" s="30">
        <f>IF($I$7="Vertical",IF($I$6="Net",'Vertical Section Properties'!D17,'Vertical Section Properties'!H17),IF($I$6="Net",'Horizontal Section Properties'!D17,'Horizontal Section Properties'!H17))</f>
        <v>35.809303977272727</v>
      </c>
      <c r="I28" s="30">
        <f>IF($I$7="Vertical",IF($I$6="Net",'Vertical Section Properties'!E17,'Vertical Section Properties'!I17),IF($I$6="Net",'Horizontal Section Properties'!E17,'Horizontal Section Properties'!I17))</f>
        <v>321.42635414817119</v>
      </c>
      <c r="J28" s="30">
        <f>IF($I$7="Vertical",IF($I$6="Net",'Vertical Section Properties'!F17,'Vertical Section Properties'!J17),IF($I$6="Net",'Horizontal Section Properties'!F17,'Horizontal Section Properties'!J17))</f>
        <v>84.308551907717032</v>
      </c>
      <c r="K28" s="65">
        <f>IF($I$7="Vertical",IF($I$6="Net",'Vertical Section Properties'!G17,'Vertical Section Properties'!K17),IF($I$6="Net",'Horizontal Section Properties'!G17,'Horizontal Section Properties'!K17))</f>
        <v>2.9960068448622028</v>
      </c>
      <c r="L28" s="29"/>
    </row>
    <row r="29" spans="1:12" x14ac:dyDescent="0.25">
      <c r="A29" s="27" t="s">
        <v>1</v>
      </c>
      <c r="B29" s="27">
        <f t="shared" si="4"/>
        <v>96</v>
      </c>
      <c r="C29" s="27" t="s">
        <v>40</v>
      </c>
      <c r="D29" s="28">
        <f t="shared" si="1"/>
        <v>0.27023824055989576</v>
      </c>
      <c r="E29" s="28">
        <f t="shared" si="3"/>
        <v>1.8545786539713542</v>
      </c>
      <c r="F29" s="28">
        <f t="shared" si="2"/>
        <v>3.9316134982638884</v>
      </c>
      <c r="G29" s="29">
        <f t="shared" si="0"/>
        <v>43</v>
      </c>
      <c r="H29" s="30">
        <f>IF($I$7="Vertical",IF($I$6="Net",'Vertical Section Properties'!D18,'Vertical Section Properties'!H18),IF($I$6="Net",'Horizontal Section Properties'!D18,'Horizontal Section Properties'!H18))</f>
        <v>35.3251953125</v>
      </c>
      <c r="I29" s="30">
        <f>IF($I$7="Vertical",IF($I$6="Net",'Vertical Section Properties'!E18,'Vertical Section Properties'!I18),IF($I$6="Net",'Horizontal Section Properties'!E18,'Horizontal Section Properties'!I18))</f>
        <v>320.36673609415692</v>
      </c>
      <c r="J29" s="30">
        <f>IF($I$7="Vertical",IF($I$6="Net",'Vertical Section Properties'!F18,'Vertical Section Properties'!J18),IF($I$6="Net",'Horizontal Section Properties'!F18,'Horizontal Section Properties'!J18))</f>
        <v>84.030619303385421</v>
      </c>
      <c r="K29" s="65">
        <f>IF($I$7="Vertical",IF($I$6="Net",'Vertical Section Properties'!G18,'Vertical Section Properties'!K18),IF($I$6="Net",'Horizontal Section Properties'!G18,'Horizontal Section Properties'!K18))</f>
        <v>3.0114899797003916</v>
      </c>
      <c r="L29" s="29"/>
    </row>
    <row r="30" spans="1:12" x14ac:dyDescent="0.25">
      <c r="A30" s="27" t="s">
        <v>1</v>
      </c>
      <c r="B30" s="27">
        <f t="shared" si="4"/>
        <v>104</v>
      </c>
      <c r="C30" s="27" t="s">
        <v>40</v>
      </c>
      <c r="D30" s="28">
        <f t="shared" si="1"/>
        <v>0.27023824055989576</v>
      </c>
      <c r="E30" s="28">
        <f t="shared" si="3"/>
        <v>1.8505683312049279</v>
      </c>
      <c r="F30" s="28">
        <f t="shared" si="2"/>
        <v>3.6291816907051277</v>
      </c>
      <c r="G30" s="29">
        <f t="shared" si="0"/>
        <v>42</v>
      </c>
      <c r="H30" s="30">
        <f>IF($I$7="Vertical",IF($I$6="Net",'Vertical Section Properties'!D19,'Vertical Section Properties'!H19),IF($I$6="Net",'Horizontal Section Properties'!D19,'Horizontal Section Properties'!H19))</f>
        <v>34.915564903846153</v>
      </c>
      <c r="I30" s="30">
        <f>IF($I$7="Vertical",IF($I$6="Net",'Vertical Section Properties'!E19,'Vertical Section Properties'!I19),IF($I$6="Net",'Horizontal Section Properties'!E19,'Horizontal Section Properties'!I19))</f>
        <v>319.4701362022987</v>
      </c>
      <c r="J30" s="30">
        <f>IF($I$7="Vertical",IF($I$6="Net",'Vertical Section Properties'!F19,'Vertical Section Properties'!J19),IF($I$6="Net",'Horizontal Section Properties'!F19,'Horizontal Section Properties'!J19))</f>
        <v>83.795445561258674</v>
      </c>
      <c r="K30" s="65">
        <f>IF($I$7="Vertical",IF($I$6="Net",'Vertical Section Properties'!G19,'Vertical Section Properties'!K19),IF($I$6="Net",'Horizontal Section Properties'!G19,'Horizontal Section Properties'!K19))</f>
        <v>3.0248622151415376</v>
      </c>
      <c r="L30" s="29"/>
    </row>
    <row r="31" spans="1:12" x14ac:dyDescent="0.25">
      <c r="A31" s="27" t="s">
        <v>1</v>
      </c>
      <c r="B31" s="27">
        <f t="shared" si="4"/>
        <v>112</v>
      </c>
      <c r="C31" s="27" t="s">
        <v>40</v>
      </c>
      <c r="D31" s="28">
        <f t="shared" si="1"/>
        <v>0.27023824055989576</v>
      </c>
      <c r="E31" s="28">
        <f t="shared" si="3"/>
        <v>1.8471309116908483</v>
      </c>
      <c r="F31" s="28">
        <f t="shared" si="2"/>
        <v>3.3699544270833335</v>
      </c>
      <c r="G31" s="29">
        <f t="shared" si="0"/>
        <v>42</v>
      </c>
      <c r="H31" s="30">
        <f>IF($I$7="Vertical",IF($I$6="Net",'Vertical Section Properties'!D20,'Vertical Section Properties'!H20),IF($I$6="Net",'Horizontal Section Properties'!D20,'Horizontal Section Properties'!H20))</f>
        <v>34.564453125</v>
      </c>
      <c r="I31" s="30">
        <f>IF($I$7="Vertical",IF($I$6="Net",'Vertical Section Properties'!E20,'Vertical Section Properties'!I20),IF($I$6="Net",'Horizontal Section Properties'!E20,'Horizontal Section Properties'!I20))</f>
        <v>318.70162200927734</v>
      </c>
      <c r="J31" s="30">
        <f>IF($I$7="Vertical",IF($I$6="Net",'Vertical Section Properties'!F20,'Vertical Section Properties'!J20),IF($I$6="Net",'Horizontal Section Properties'!F20,'Horizontal Section Properties'!J20))</f>
        <v>83.593868068007168</v>
      </c>
      <c r="K31" s="65">
        <f>IF($I$7="Vertical",IF($I$6="Net",'Vertical Section Properties'!G20,'Vertical Section Properties'!K20),IF($I$6="Net",'Horizontal Section Properties'!G20,'Horizontal Section Properties'!K20))</f>
        <v>3.0365280126351166</v>
      </c>
      <c r="L31" s="29"/>
    </row>
    <row r="32" spans="1:12" x14ac:dyDescent="0.25">
      <c r="A32" s="27" t="s">
        <v>1</v>
      </c>
      <c r="B32" s="27">
        <f t="shared" si="4"/>
        <v>120</v>
      </c>
      <c r="C32" s="27" t="s">
        <v>40</v>
      </c>
      <c r="D32" s="28">
        <f t="shared" si="1"/>
        <v>0.27023824055989576</v>
      </c>
      <c r="E32" s="28">
        <f t="shared" si="3"/>
        <v>1.8441518147786458</v>
      </c>
      <c r="F32" s="28">
        <f t="shared" si="2"/>
        <v>3.1452907986111107</v>
      </c>
      <c r="G32" s="29">
        <f t="shared" si="0"/>
        <v>42</v>
      </c>
      <c r="H32" s="30">
        <f>IF($I$7="Vertical",IF($I$6="Net",'Vertical Section Properties'!D21,'Vertical Section Properties'!H21),IF($I$6="Net",'Horizontal Section Properties'!D21,'Horizontal Section Properties'!H21))</f>
        <v>34.260156250000001</v>
      </c>
      <c r="I32" s="30">
        <f>IF($I$7="Vertical",IF($I$6="Net",'Vertical Section Properties'!E21,'Vertical Section Properties'!I21),IF($I$6="Net",'Horizontal Section Properties'!E21,'Horizontal Section Properties'!I21))</f>
        <v>318.03557637532555</v>
      </c>
      <c r="J32" s="30">
        <f>IF($I$7="Vertical",IF($I$6="Net",'Vertical Section Properties'!F21,'Vertical Section Properties'!J21),IF($I$6="Net",'Horizontal Section Properties'!F21,'Horizontal Section Properties'!J21))</f>
        <v>83.419167573855887</v>
      </c>
      <c r="K32" s="65">
        <f>IF($I$7="Vertical",IF($I$6="Net",'Vertical Section Properties'!G21,'Vertical Section Properties'!K21),IF($I$6="Net",'Horizontal Section Properties'!G21,'Horizontal Section Properties'!K21))</f>
        <v>3.0467946365489071</v>
      </c>
      <c r="L32" s="29"/>
    </row>
    <row r="34" spans="3:21" x14ac:dyDescent="0.25">
      <c r="I34"/>
    </row>
    <row r="35" spans="3:21" ht="16.5" thickBot="1" x14ac:dyDescent="0.3">
      <c r="G35" s="11" t="s">
        <v>31</v>
      </c>
      <c r="H35" s="16">
        <f>I3</f>
        <v>8</v>
      </c>
      <c r="I35"/>
    </row>
    <row r="36" spans="3:21" ht="16.5" thickTop="1" x14ac:dyDescent="0.25">
      <c r="G36" s="11" t="s">
        <v>33</v>
      </c>
      <c r="H36" s="24">
        <f>H35-H41</f>
        <v>7.625</v>
      </c>
      <c r="I36" s="79" t="s">
        <v>30</v>
      </c>
      <c r="J36" s="81" t="s">
        <v>22</v>
      </c>
      <c r="K36" s="82"/>
    </row>
    <row r="37" spans="3:21" ht="17.25" x14ac:dyDescent="0.3">
      <c r="G37" s="11" t="s">
        <v>44</v>
      </c>
      <c r="H37" s="24">
        <f>_xlfn.XLOOKUP(H35,I38:I42,J38:J42)</f>
        <v>1.25</v>
      </c>
      <c r="I37" s="80"/>
      <c r="J37" s="14" t="s">
        <v>16</v>
      </c>
      <c r="K37" s="32" t="s">
        <v>17</v>
      </c>
    </row>
    <row r="38" spans="3:21" ht="17.25" x14ac:dyDescent="0.3">
      <c r="C38" s="13"/>
      <c r="D38" s="13"/>
      <c r="E38" s="13"/>
      <c r="F38"/>
      <c r="G38" s="11" t="s">
        <v>45</v>
      </c>
      <c r="H38" s="24">
        <f>_xlfn.XLOOKUP(H35,I38:I42,K38:K42)</f>
        <v>1</v>
      </c>
      <c r="I38" s="33">
        <v>4</v>
      </c>
      <c r="J38" s="67">
        <v>0.75</v>
      </c>
      <c r="K38" s="68">
        <v>0.75</v>
      </c>
    </row>
    <row r="39" spans="3:21" x14ac:dyDescent="0.25">
      <c r="G39" s="11" t="s">
        <v>36</v>
      </c>
      <c r="H39" s="24">
        <v>15.625</v>
      </c>
      <c r="I39" s="33">
        <v>6</v>
      </c>
      <c r="J39" s="67">
        <v>1</v>
      </c>
      <c r="K39" s="68">
        <v>1</v>
      </c>
      <c r="U39"/>
    </row>
    <row r="40" spans="3:21" x14ac:dyDescent="0.25">
      <c r="G40" s="11" t="s">
        <v>37</v>
      </c>
      <c r="H40" s="24">
        <v>7.625</v>
      </c>
      <c r="I40" s="33">
        <v>8</v>
      </c>
      <c r="J40" s="67">
        <v>1.25</v>
      </c>
      <c r="K40" s="68">
        <v>1</v>
      </c>
      <c r="U40"/>
    </row>
    <row r="41" spans="3:21" x14ac:dyDescent="0.25">
      <c r="G41" s="11" t="s">
        <v>32</v>
      </c>
      <c r="H41" s="24">
        <v>0.375</v>
      </c>
      <c r="I41" s="33">
        <v>10</v>
      </c>
      <c r="J41" s="67">
        <v>1.25</v>
      </c>
      <c r="K41" s="68">
        <v>1</v>
      </c>
      <c r="U41"/>
    </row>
    <row r="42" spans="3:21" ht="18.75" thickBot="1" x14ac:dyDescent="0.3">
      <c r="G42" s="23" t="s">
        <v>41</v>
      </c>
      <c r="H42" s="25">
        <v>125</v>
      </c>
      <c r="I42" s="34">
        <v>12</v>
      </c>
      <c r="J42" s="69">
        <v>1.25</v>
      </c>
      <c r="K42" s="70">
        <v>1</v>
      </c>
      <c r="U42"/>
    </row>
    <row r="43" spans="3:21" ht="18.75" thickTop="1" x14ac:dyDescent="0.25">
      <c r="G43" s="23" t="s">
        <v>59</v>
      </c>
      <c r="H43" s="25">
        <v>140</v>
      </c>
      <c r="I43"/>
      <c r="U43"/>
    </row>
    <row r="44" spans="3:21" x14ac:dyDescent="0.25">
      <c r="I44"/>
      <c r="U44"/>
    </row>
    <row r="45" spans="3:21" x14ac:dyDescent="0.25">
      <c r="U45"/>
    </row>
    <row r="46" spans="3:21" x14ac:dyDescent="0.25">
      <c r="G46"/>
      <c r="H46"/>
      <c r="I46"/>
      <c r="U46"/>
    </row>
    <row r="47" spans="3:21" x14ac:dyDescent="0.25">
      <c r="E47"/>
      <c r="G47"/>
      <c r="H47"/>
      <c r="I47"/>
    </row>
    <row r="48" spans="3:21" x14ac:dyDescent="0.25">
      <c r="G48"/>
      <c r="H48"/>
      <c r="I48"/>
    </row>
    <row r="49" spans="7:11" x14ac:dyDescent="0.25">
      <c r="G49"/>
      <c r="H49"/>
      <c r="I49"/>
    </row>
    <row r="50" spans="7:11" x14ac:dyDescent="0.25">
      <c r="G50"/>
      <c r="H50"/>
      <c r="I50"/>
      <c r="J50"/>
      <c r="K50"/>
    </row>
    <row r="51" spans="7:11" x14ac:dyDescent="0.25">
      <c r="G51"/>
      <c r="H51"/>
      <c r="I51"/>
      <c r="J51"/>
      <c r="K51"/>
    </row>
    <row r="52" spans="7:11" x14ac:dyDescent="0.25">
      <c r="G52"/>
      <c r="H52"/>
      <c r="I52"/>
      <c r="J52"/>
      <c r="K52"/>
    </row>
    <row r="53" spans="7:11" x14ac:dyDescent="0.25">
      <c r="G53"/>
      <c r="H53"/>
      <c r="I53"/>
      <c r="J53"/>
      <c r="K53"/>
    </row>
    <row r="54" spans="7:11" x14ac:dyDescent="0.25">
      <c r="G54"/>
      <c r="H54"/>
      <c r="I54"/>
      <c r="J54"/>
      <c r="K54"/>
    </row>
    <row r="55" spans="7:11" x14ac:dyDescent="0.25">
      <c r="G55"/>
      <c r="H55"/>
      <c r="I55"/>
      <c r="J55"/>
      <c r="K55"/>
    </row>
  </sheetData>
  <sheetProtection algorithmName="SHA-512" hashValue="8uMBK4NDh1uSBunAeuhFUTbR75+il8WM/bnIxVmXVVyKqHkac3e1YdMKl1npvecx7zc0EeJhHor5yjZHPeLTKg==" saltValue="3dvOAqrsnM2ZhRFgAi7XjA==" spinCount="100000" sheet="1" objects="1" scenarios="1"/>
  <mergeCells count="11">
    <mergeCell ref="K3:M3"/>
    <mergeCell ref="G13:G14"/>
    <mergeCell ref="H12:K12"/>
    <mergeCell ref="I36:I37"/>
    <mergeCell ref="J36:K36"/>
    <mergeCell ref="F13:F14"/>
    <mergeCell ref="A13:A14"/>
    <mergeCell ref="B13:B14"/>
    <mergeCell ref="C13:C14"/>
    <mergeCell ref="D13:D14"/>
    <mergeCell ref="E13:E14"/>
  </mergeCells>
  <dataValidations count="6">
    <dataValidation type="list" allowBlank="1" showInputMessage="1" showErrorMessage="1" sqref="I3" xr:uid="{4E85F8BE-ACDC-4939-8A54-7A735CCA234F}">
      <formula1>"4, 6, 8, 10, 12"</formula1>
    </dataValidation>
    <dataValidation type="list" allowBlank="1" showInputMessage="1" showErrorMessage="1" sqref="I5" xr:uid="{D5580754-6D96-42D5-A033-B8C80D76619B}">
      <formula1>"No Grout, 8, 16, 24, 32, 40, 48, 56, 64, 72, 80, 88, 96, 104, 112, 120"</formula1>
    </dataValidation>
    <dataValidation type="list" allowBlank="1" showInputMessage="1" showErrorMessage="1" sqref="I6" xr:uid="{0209D1D7-0605-444D-BF6B-69634293FF49}">
      <formula1>"Net, Average"</formula1>
    </dataValidation>
    <dataValidation type="list" allowBlank="1" showInputMessage="1" showErrorMessage="1" sqref="I7" xr:uid="{E386A36F-F873-45EA-8188-E15B8C9D1336}">
      <formula1>"Horizontal, Vertical"</formula1>
    </dataValidation>
    <dataValidation type="list" allowBlank="1" showInputMessage="1" showErrorMessage="1" sqref="I8" xr:uid="{D1DDEEA3-3F54-4315-82DA-9732A20C5831}">
      <formula1>"Hollow, Solid"</formula1>
    </dataValidation>
    <dataValidation type="list" allowBlank="1" showInputMessage="1" showErrorMessage="1" sqref="I9" xr:uid="{E9A70DCE-D65A-40FB-A721-D4CC240DAF6A}">
      <formula1>"Face Shell, Full"</formula1>
    </dataValidation>
  </dataValidations>
  <pageMargins left="0.7" right="0.7" top="0.75" bottom="0.75" header="0.3" footer="0.3"/>
  <pageSetup scale="78" orientation="portrait" horizontalDpi="1200" verticalDpi="1200" r:id="rId1"/>
  <headerFooter>
    <oddFooter>&amp;L&amp;"+,Regular"&amp;11Block Design Collective&amp;C&amp;"+,Regular"&amp;11Section Properties and Wall Weights Calculator&amp;R&amp;"+,Regular"&amp;11Ver. 1.2: May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B188-1513-4B77-8983-C72018659618}">
  <sheetPr>
    <pageSetUpPr fitToPage="1"/>
  </sheetPr>
  <dimension ref="A1:P21"/>
  <sheetViews>
    <sheetView workbookViewId="0"/>
  </sheetViews>
  <sheetFormatPr defaultRowHeight="15.75" x14ac:dyDescent="0.25"/>
  <cols>
    <col min="1" max="1" width="6.88671875" style="10" customWidth="1"/>
    <col min="2" max="2" width="9.88671875" style="10" customWidth="1"/>
    <col min="3" max="3" width="8.6640625" style="10" customWidth="1"/>
    <col min="4" max="7" width="9.88671875" style="10" customWidth="1"/>
    <col min="8" max="8" width="10.33203125" style="10" customWidth="1"/>
    <col min="9" max="11" width="9.88671875" style="10" customWidth="1"/>
    <col min="12" max="12" width="6.88671875" style="10" customWidth="1"/>
    <col min="13" max="13" width="9.21875" style="10" customWidth="1"/>
    <col min="14" max="16" width="9.21875" style="10"/>
  </cols>
  <sheetData>
    <row r="1" spans="1:16" x14ac:dyDescent="0.25">
      <c r="A1" s="15" t="s">
        <v>46</v>
      </c>
      <c r="O1" s="11" t="s">
        <v>31</v>
      </c>
      <c r="P1" s="16">
        <f>'Inputs-Outputs'!I3</f>
        <v>8</v>
      </c>
    </row>
    <row r="2" spans="1:16" x14ac:dyDescent="0.25">
      <c r="A2" s="83" t="s">
        <v>7</v>
      </c>
      <c r="B2" s="83" t="s">
        <v>5</v>
      </c>
      <c r="C2" s="83" t="s">
        <v>6</v>
      </c>
      <c r="D2" s="86" t="s">
        <v>38</v>
      </c>
      <c r="E2" s="87"/>
      <c r="F2" s="87"/>
      <c r="G2" s="88"/>
      <c r="H2" s="87" t="s">
        <v>39</v>
      </c>
      <c r="I2" s="87"/>
      <c r="J2" s="87"/>
      <c r="K2" s="87"/>
      <c r="L2" s="11"/>
      <c r="M2" s="18"/>
      <c r="O2" s="11" t="s">
        <v>32</v>
      </c>
      <c r="P2" s="17">
        <f>'Inputs-Outputs'!H41</f>
        <v>0.375</v>
      </c>
    </row>
    <row r="3" spans="1:16" ht="32.450000000000003" customHeight="1" x14ac:dyDescent="0.25">
      <c r="A3" s="84"/>
      <c r="B3" s="84"/>
      <c r="C3" s="85"/>
      <c r="D3" s="38" t="s">
        <v>51</v>
      </c>
      <c r="E3" s="20" t="s">
        <v>52</v>
      </c>
      <c r="F3" s="20" t="s">
        <v>53</v>
      </c>
      <c r="G3" s="39" t="s">
        <v>54</v>
      </c>
      <c r="H3" s="20" t="s">
        <v>55</v>
      </c>
      <c r="I3" s="20" t="s">
        <v>56</v>
      </c>
      <c r="J3" s="20" t="s">
        <v>57</v>
      </c>
      <c r="K3" s="20" t="s">
        <v>58</v>
      </c>
      <c r="L3" s="11"/>
      <c r="M3" s="18"/>
      <c r="O3" s="11" t="s">
        <v>33</v>
      </c>
      <c r="P3" s="17">
        <f>P1-P2</f>
        <v>7.625</v>
      </c>
    </row>
    <row r="4" spans="1:16" ht="17.25" x14ac:dyDescent="0.3">
      <c r="A4" s="16" t="s">
        <v>1</v>
      </c>
      <c r="B4" s="12" t="s">
        <v>2</v>
      </c>
      <c r="C4" s="27" t="s">
        <v>40</v>
      </c>
      <c r="D4" s="40">
        <f>(($P$6+$P$2)*2*$P$4)*(12/($P$6+$P$2))</f>
        <v>30</v>
      </c>
      <c r="E4" s="41">
        <f>(((1/12)*($P$6+$P$2)*($P$3^3))-((1/12)*($P$6+$P$2)*(($P$3-2*$P$4)^3)))*(12/($P$6+$P$2))</f>
        <v>308.7109375</v>
      </c>
      <c r="F4" s="41">
        <f t="shared" ref="F4:F21" si="0">($E4/($P$3/2))</f>
        <v>80.973360655737707</v>
      </c>
      <c r="G4" s="42">
        <f t="shared" ref="G4:G21" si="1">($E4/$D4)^(1/2)</f>
        <v>3.207859813541317</v>
      </c>
      <c r="H4" s="43">
        <f>((($P$6+$P$2)*2*$P$4)+(3*$P$5*($P$3-2*$P$4)))*(12/($P$6+$P$2))</f>
        <v>41.53125</v>
      </c>
      <c r="I4" s="43">
        <f>(((1/12)*($P$6+$P$2)*($P$3^3))-((1/12)*(($P$6-(3*$P$5))+$P$2)*(($P$3-2*$P$4)^3)))*(12/($P$6+$P$2))</f>
        <v>333.9505615234375</v>
      </c>
      <c r="J4" s="43">
        <f t="shared" ref="J4:J21" si="2">($I4/($P$3/2))</f>
        <v>87.593589907786878</v>
      </c>
      <c r="K4" s="44">
        <f t="shared" ref="K4:K21" si="3">($I4/$H4)^(1/2)</f>
        <v>2.8356562825665761</v>
      </c>
      <c r="L4" s="11"/>
      <c r="M4" s="18"/>
      <c r="O4" s="11" t="s">
        <v>44</v>
      </c>
      <c r="P4" s="47">
        <f>_xlfn.XLOOKUP(P1,N11:N16,O11:O16)</f>
        <v>1.25</v>
      </c>
    </row>
    <row r="5" spans="1:16" ht="17.25" x14ac:dyDescent="0.3">
      <c r="A5" s="16" t="s">
        <v>1</v>
      </c>
      <c r="B5" s="12" t="s">
        <v>2</v>
      </c>
      <c r="C5" s="27" t="s">
        <v>3</v>
      </c>
      <c r="D5" s="45">
        <f>((($P$6+$P$2)*2*$P$4)+(3*$P$5*($P$3-2*$P$4)))*(12/($P$6+$P$2))</f>
        <v>41.53125</v>
      </c>
      <c r="E5" s="43">
        <f>(((1/12)*($P$6+$P$2)*($P$3^3))-((1/12)*(($P$6-(3*$P$5))+$P$2)*(($P$3-2*$P$4)^3)))*(12/($P$6+$P$2))</f>
        <v>333.9505615234375</v>
      </c>
      <c r="F5" s="43">
        <f t="shared" si="0"/>
        <v>87.593589907786878</v>
      </c>
      <c r="G5" s="46">
        <f t="shared" si="1"/>
        <v>2.8356562825665761</v>
      </c>
      <c r="H5" s="43">
        <f>((($P$6+$P$2)*2*$P$4)+(3*$P$5*($P$3-2*$P$4)))*(12/($P$6+$P$2))</f>
        <v>41.53125</v>
      </c>
      <c r="I5" s="43">
        <f>(((1/12)*($P$6+$P$2)*($P$3^3))-((1/12)*(($P$6-(3*$P$5))+$P$2)*(($P$3-2*$P$4)^3)))*(12/($P$6+$P$2))</f>
        <v>333.9505615234375</v>
      </c>
      <c r="J5" s="43">
        <f t="shared" si="2"/>
        <v>87.593589907786878</v>
      </c>
      <c r="K5" s="44">
        <f t="shared" si="3"/>
        <v>2.8356562825665761</v>
      </c>
      <c r="O5" s="11" t="s">
        <v>45</v>
      </c>
      <c r="P5" s="47">
        <f>_xlfn.XLOOKUP(P1,N11:N16,P11:P16)</f>
        <v>1</v>
      </c>
    </row>
    <row r="6" spans="1:16" x14ac:dyDescent="0.25">
      <c r="A6" s="16" t="s">
        <v>4</v>
      </c>
      <c r="B6" s="12" t="s">
        <v>2</v>
      </c>
      <c r="C6" s="27" t="s">
        <v>3</v>
      </c>
      <c r="D6" s="45">
        <f>($P$3*($P$6+$P$2))*(12/($P$6+$P$2))</f>
        <v>91.5</v>
      </c>
      <c r="E6" s="43">
        <f>((1/12)*($P$6+$P$2)*($P$3^3))*(12/($P$6+$P$2))</f>
        <v>443.322265625</v>
      </c>
      <c r="F6" s="43">
        <f t="shared" si="0"/>
        <v>116.28125</v>
      </c>
      <c r="G6" s="46">
        <f t="shared" si="1"/>
        <v>2.2011479012854482</v>
      </c>
      <c r="H6" s="43">
        <f>($P$3*($P$6+$P$2))*(12/($P$6+$P$2))</f>
        <v>91.5</v>
      </c>
      <c r="I6" s="43">
        <f>((1/12)*($P$6+$P$2)*($P$3^3))*(12/($P$6+$P$2))</f>
        <v>443.322265625</v>
      </c>
      <c r="J6" s="43">
        <f t="shared" si="2"/>
        <v>116.28125</v>
      </c>
      <c r="K6" s="44">
        <f t="shared" si="3"/>
        <v>2.2011479012854482</v>
      </c>
      <c r="M6" s="19"/>
      <c r="O6" s="11" t="s">
        <v>36</v>
      </c>
      <c r="P6" s="17">
        <v>15.625</v>
      </c>
    </row>
    <row r="7" spans="1:16" x14ac:dyDescent="0.25">
      <c r="A7" s="16" t="s">
        <v>1</v>
      </c>
      <c r="B7" s="12">
        <v>8</v>
      </c>
      <c r="C7" s="27" t="s">
        <v>3</v>
      </c>
      <c r="D7" s="45">
        <f>($P$3*($P$6+$P$2))*(12/($P$6+$P$2))</f>
        <v>91.5</v>
      </c>
      <c r="E7" s="43">
        <f>((1/12)*($P$6+$P$2)*($P$3^3))*(12/($P$6+$P$2))</f>
        <v>443.322265625</v>
      </c>
      <c r="F7" s="43">
        <f t="shared" si="0"/>
        <v>116.28125</v>
      </c>
      <c r="G7" s="46">
        <f t="shared" si="1"/>
        <v>2.2011479012854482</v>
      </c>
      <c r="H7" s="43">
        <f>($P$3*($P$6+$P$2))*(12/($P$6+$P$2))</f>
        <v>91.5</v>
      </c>
      <c r="I7" s="43">
        <f>((1/12)*($P$6+$P$2)*($P$3^3))*(12/($P$6+$P$2))</f>
        <v>443.322265625</v>
      </c>
      <c r="J7" s="43">
        <f t="shared" si="2"/>
        <v>116.28125</v>
      </c>
      <c r="K7" s="44">
        <f t="shared" si="3"/>
        <v>2.2011479012854482</v>
      </c>
      <c r="O7" s="11" t="s">
        <v>37</v>
      </c>
      <c r="P7" s="17">
        <v>7.625</v>
      </c>
    </row>
    <row r="8" spans="1:16" ht="16.5" thickBot="1" x14ac:dyDescent="0.3">
      <c r="A8" s="16" t="s">
        <v>1</v>
      </c>
      <c r="B8" s="12">
        <f>(B7+8)</f>
        <v>16</v>
      </c>
      <c r="C8" s="27" t="s">
        <v>40</v>
      </c>
      <c r="D8" s="45">
        <f t="shared" ref="D8:D21" si="4">(($P$6+$P$2)*2*$P$4)*(12/($P$6+$P$2))+((($P$6/2)+($P$5/2))*($P$3-2*$P$4))*(12/$B8)</f>
        <v>61.951171875</v>
      </c>
      <c r="E8" s="43">
        <f t="shared" ref="E8:E21" si="5">(((1/12)*($P$6+$P$2)*($P$3^3))-((1/12)*($P$6+$P$2)*(($P$3-2*$P$4)^3)))*(12/($P$6+$P$2))+((1/12)*(($P$6/2)+($P$5/2))*(($P$3-2*$P$4)^3))*(12/$B8)</f>
        <v>378.64572906494141</v>
      </c>
      <c r="F8" s="43">
        <f t="shared" si="0"/>
        <v>99.316912541623978</v>
      </c>
      <c r="G8" s="46">
        <f t="shared" si="1"/>
        <v>2.4722464862243734</v>
      </c>
      <c r="H8" s="43">
        <f t="shared" ref="H8:H21" si="6">((($P$6+$P$2)*2*$P$4)+(3*$P$5*($P$3-2*$P$4)))*(12/($P$6+$P$2))+((($P$6/2)-$P$5-($P$5/2))*($P$3-2*$P$4))*(12/$B8)</f>
        <v>65.794921875</v>
      </c>
      <c r="I8" s="43">
        <f t="shared" ref="I8:I21" si="7">(((1/12)*($P$6+$P$2)*($P$3^3))-((1/12)*(($P$6-(3*$P$5))+$P$2)*(($P$3-2*$P$4)^3)))*(12/($P$6+$P$2))+((1/12)*(($P$6/2)-$P$5-($P$5/2))*(($P$3-2*$P$4)^3)*(12/$B8))</f>
        <v>387.05893707275391</v>
      </c>
      <c r="J8" s="43">
        <f t="shared" si="2"/>
        <v>101.52365562564037</v>
      </c>
      <c r="K8" s="44">
        <f t="shared" si="3"/>
        <v>2.4254502001510136</v>
      </c>
    </row>
    <row r="9" spans="1:16" ht="16.5" thickTop="1" x14ac:dyDescent="0.25">
      <c r="A9" s="16" t="s">
        <v>1</v>
      </c>
      <c r="B9" s="12">
        <f t="shared" ref="B9:B21" si="8">(B8+8)</f>
        <v>24</v>
      </c>
      <c r="C9" s="27" t="s">
        <v>40</v>
      </c>
      <c r="D9" s="45">
        <f t="shared" si="4"/>
        <v>51.30078125</v>
      </c>
      <c r="E9" s="43">
        <f t="shared" si="5"/>
        <v>355.33413187662762</v>
      </c>
      <c r="F9" s="43">
        <f t="shared" si="0"/>
        <v>93.202395246328564</v>
      </c>
      <c r="G9" s="46">
        <f t="shared" si="1"/>
        <v>2.6318217608510479</v>
      </c>
      <c r="H9" s="43">
        <f t="shared" si="6"/>
        <v>57.70703125</v>
      </c>
      <c r="I9" s="43">
        <f t="shared" si="7"/>
        <v>369.35614522298175</v>
      </c>
      <c r="J9" s="43">
        <f t="shared" si="2"/>
        <v>96.88030038635587</v>
      </c>
      <c r="K9" s="44">
        <f t="shared" si="3"/>
        <v>2.5299287959925829</v>
      </c>
      <c r="N9" s="79" t="s">
        <v>30</v>
      </c>
      <c r="O9" s="81" t="s">
        <v>22</v>
      </c>
      <c r="P9" s="82"/>
    </row>
    <row r="10" spans="1:16" ht="17.25" x14ac:dyDescent="0.3">
      <c r="A10" s="16" t="s">
        <v>1</v>
      </c>
      <c r="B10" s="12">
        <f t="shared" si="8"/>
        <v>32</v>
      </c>
      <c r="C10" s="27" t="s">
        <v>40</v>
      </c>
      <c r="D10" s="45">
        <f t="shared" si="4"/>
        <v>45.9755859375</v>
      </c>
      <c r="E10" s="43">
        <f t="shared" si="5"/>
        <v>343.6783332824707</v>
      </c>
      <c r="F10" s="43">
        <f t="shared" si="0"/>
        <v>90.145136598680836</v>
      </c>
      <c r="G10" s="46">
        <f t="shared" si="1"/>
        <v>2.7340876951910706</v>
      </c>
      <c r="H10" s="43">
        <f t="shared" si="6"/>
        <v>53.6630859375</v>
      </c>
      <c r="I10" s="43">
        <f t="shared" si="7"/>
        <v>360.5047492980957</v>
      </c>
      <c r="J10" s="43">
        <f t="shared" si="2"/>
        <v>94.558622766713626</v>
      </c>
      <c r="K10" s="44">
        <f t="shared" si="3"/>
        <v>2.5918966090308655</v>
      </c>
      <c r="N10" s="89"/>
      <c r="O10" s="52" t="s">
        <v>42</v>
      </c>
      <c r="P10" s="53" t="s">
        <v>43</v>
      </c>
    </row>
    <row r="11" spans="1:16" x14ac:dyDescent="0.25">
      <c r="A11" s="16" t="s">
        <v>1</v>
      </c>
      <c r="B11" s="12">
        <f t="shared" si="8"/>
        <v>40</v>
      </c>
      <c r="C11" s="27" t="s">
        <v>40</v>
      </c>
      <c r="D11" s="45">
        <f t="shared" si="4"/>
        <v>42.780468749999997</v>
      </c>
      <c r="E11" s="43">
        <f t="shared" si="5"/>
        <v>336.68485412597659</v>
      </c>
      <c r="F11" s="43">
        <f t="shared" si="0"/>
        <v>88.310781410092218</v>
      </c>
      <c r="G11" s="46">
        <f t="shared" si="1"/>
        <v>2.8053627142940134</v>
      </c>
      <c r="H11" s="43">
        <f t="shared" si="6"/>
        <v>51.236718750000001</v>
      </c>
      <c r="I11" s="43">
        <f t="shared" si="7"/>
        <v>355.19391174316405</v>
      </c>
      <c r="J11" s="43">
        <f t="shared" si="2"/>
        <v>93.165616194928276</v>
      </c>
      <c r="K11" s="44">
        <f t="shared" si="3"/>
        <v>2.6329469080482069</v>
      </c>
      <c r="N11" s="49">
        <f>'Inputs-Outputs'!I38</f>
        <v>4</v>
      </c>
      <c r="O11" s="50">
        <f>'Inputs-Outputs'!J38</f>
        <v>0.75</v>
      </c>
      <c r="P11" s="51">
        <f>'Inputs-Outputs'!K38</f>
        <v>0.75</v>
      </c>
    </row>
    <row r="12" spans="1:16" x14ac:dyDescent="0.25">
      <c r="A12" s="16" t="s">
        <v>1</v>
      </c>
      <c r="B12" s="12">
        <f t="shared" si="8"/>
        <v>48</v>
      </c>
      <c r="C12" s="27" t="s">
        <v>40</v>
      </c>
      <c r="D12" s="45">
        <f t="shared" si="4"/>
        <v>40.650390625</v>
      </c>
      <c r="E12" s="43">
        <f t="shared" si="5"/>
        <v>332.02253468831378</v>
      </c>
      <c r="F12" s="43">
        <f t="shared" si="0"/>
        <v>87.087877951033121</v>
      </c>
      <c r="G12" s="46">
        <f t="shared" si="1"/>
        <v>2.8579288906239091</v>
      </c>
      <c r="H12" s="43">
        <f t="shared" si="6"/>
        <v>49.619140625</v>
      </c>
      <c r="I12" s="43">
        <f t="shared" si="7"/>
        <v>351.65335337320965</v>
      </c>
      <c r="J12" s="43">
        <f t="shared" si="2"/>
        <v>92.236945147071381</v>
      </c>
      <c r="K12" s="44">
        <f t="shared" si="3"/>
        <v>2.662151471955946</v>
      </c>
      <c r="N12" s="33">
        <f>'Inputs-Outputs'!I39</f>
        <v>6</v>
      </c>
      <c r="O12" s="14">
        <f>'Inputs-Outputs'!J39</f>
        <v>1</v>
      </c>
      <c r="P12" s="32">
        <f>'Inputs-Outputs'!K39</f>
        <v>1</v>
      </c>
    </row>
    <row r="13" spans="1:16" x14ac:dyDescent="0.25">
      <c r="A13" s="16" t="s">
        <v>1</v>
      </c>
      <c r="B13" s="12">
        <f t="shared" si="8"/>
        <v>56</v>
      </c>
      <c r="C13" s="27" t="s">
        <v>40</v>
      </c>
      <c r="D13" s="45">
        <f t="shared" si="4"/>
        <v>39.12890625</v>
      </c>
      <c r="E13" s="43">
        <f t="shared" si="5"/>
        <v>328.69230651855469</v>
      </c>
      <c r="F13" s="43">
        <f t="shared" si="0"/>
        <v>86.214375480276644</v>
      </c>
      <c r="G13" s="46">
        <f t="shared" si="1"/>
        <v>2.8983172073457601</v>
      </c>
      <c r="H13" s="43">
        <f t="shared" si="6"/>
        <v>48.463727678571431</v>
      </c>
      <c r="I13" s="43">
        <f t="shared" si="7"/>
        <v>349.12438310895647</v>
      </c>
      <c r="J13" s="43">
        <f t="shared" si="2"/>
        <v>91.573608684316454</v>
      </c>
      <c r="K13" s="44">
        <f t="shared" si="3"/>
        <v>2.6839948787426193</v>
      </c>
      <c r="N13" s="33">
        <f>'Inputs-Outputs'!I40</f>
        <v>8</v>
      </c>
      <c r="O13" s="14">
        <f>'Inputs-Outputs'!J40</f>
        <v>1.25</v>
      </c>
      <c r="P13" s="32">
        <f>'Inputs-Outputs'!K40</f>
        <v>1</v>
      </c>
    </row>
    <row r="14" spans="1:16" x14ac:dyDescent="0.25">
      <c r="A14" s="16" t="s">
        <v>1</v>
      </c>
      <c r="B14" s="12">
        <f t="shared" si="8"/>
        <v>64</v>
      </c>
      <c r="C14" s="27" t="s">
        <v>40</v>
      </c>
      <c r="D14" s="45">
        <f t="shared" si="4"/>
        <v>37.98779296875</v>
      </c>
      <c r="E14" s="43">
        <f t="shared" si="5"/>
        <v>326.19463539123535</v>
      </c>
      <c r="F14" s="43">
        <f t="shared" si="0"/>
        <v>85.559248627209271</v>
      </c>
      <c r="G14" s="46">
        <f t="shared" si="1"/>
        <v>2.930328951653272</v>
      </c>
      <c r="H14" s="43">
        <f t="shared" si="6"/>
        <v>47.59716796875</v>
      </c>
      <c r="I14" s="43">
        <f t="shared" si="7"/>
        <v>347.2276554107666</v>
      </c>
      <c r="J14" s="43">
        <f t="shared" si="2"/>
        <v>91.076106337250252</v>
      </c>
      <c r="K14" s="44">
        <f t="shared" si="3"/>
        <v>2.7009503286093914</v>
      </c>
      <c r="N14" s="33">
        <f>'Inputs-Outputs'!I41</f>
        <v>10</v>
      </c>
      <c r="O14" s="14">
        <f>'Inputs-Outputs'!J41</f>
        <v>1.25</v>
      </c>
      <c r="P14" s="32">
        <f>'Inputs-Outputs'!K41</f>
        <v>1</v>
      </c>
    </row>
    <row r="15" spans="1:16" ht="16.5" thickBot="1" x14ac:dyDescent="0.3">
      <c r="A15" s="16" t="s">
        <v>1</v>
      </c>
      <c r="B15" s="12">
        <f t="shared" si="8"/>
        <v>72</v>
      </c>
      <c r="C15" s="27" t="s">
        <v>40</v>
      </c>
      <c r="D15" s="45">
        <f t="shared" si="4"/>
        <v>37.100260416666664</v>
      </c>
      <c r="E15" s="43">
        <f t="shared" si="5"/>
        <v>324.25200229220923</v>
      </c>
      <c r="F15" s="43">
        <f t="shared" si="0"/>
        <v>85.049705519267988</v>
      </c>
      <c r="G15" s="46">
        <f t="shared" si="1"/>
        <v>2.9563296171782709</v>
      </c>
      <c r="H15" s="43">
        <f t="shared" si="6"/>
        <v>46.923177083333336</v>
      </c>
      <c r="I15" s="43">
        <f t="shared" si="7"/>
        <v>345.7524227566189</v>
      </c>
      <c r="J15" s="43">
        <f t="shared" si="2"/>
        <v>90.689160067309871</v>
      </c>
      <c r="K15" s="44">
        <f t="shared" si="3"/>
        <v>2.714494156742369</v>
      </c>
      <c r="N15" s="34">
        <f>'Inputs-Outputs'!I42</f>
        <v>12</v>
      </c>
      <c r="O15" s="35">
        <f>'Inputs-Outputs'!J42</f>
        <v>1.25</v>
      </c>
      <c r="P15" s="36">
        <f>'Inputs-Outputs'!K42</f>
        <v>1</v>
      </c>
    </row>
    <row r="16" spans="1:16" ht="16.5" thickTop="1" x14ac:dyDescent="0.25">
      <c r="A16" s="16" t="s">
        <v>1</v>
      </c>
      <c r="B16" s="12">
        <f t="shared" si="8"/>
        <v>80</v>
      </c>
      <c r="C16" s="27" t="s">
        <v>40</v>
      </c>
      <c r="D16" s="45">
        <f t="shared" si="4"/>
        <v>36.390234374999999</v>
      </c>
      <c r="E16" s="43">
        <f t="shared" si="5"/>
        <v>322.69789581298829</v>
      </c>
      <c r="F16" s="43">
        <f t="shared" si="0"/>
        <v>84.642071032914956</v>
      </c>
      <c r="G16" s="46">
        <f t="shared" si="1"/>
        <v>2.9778693545804109</v>
      </c>
      <c r="H16" s="43">
        <f t="shared" si="6"/>
        <v>46.383984374999997</v>
      </c>
      <c r="I16" s="43">
        <f t="shared" si="7"/>
        <v>344.5722366333008</v>
      </c>
      <c r="J16" s="43">
        <f t="shared" si="2"/>
        <v>90.379603051357591</v>
      </c>
      <c r="K16" s="44">
        <f t="shared" si="3"/>
        <v>2.7255623104783093</v>
      </c>
      <c r="N16"/>
      <c r="O16"/>
      <c r="P16"/>
    </row>
    <row r="17" spans="1:11" x14ac:dyDescent="0.25">
      <c r="A17" s="16" t="s">
        <v>1</v>
      </c>
      <c r="B17" s="12">
        <f t="shared" si="8"/>
        <v>88</v>
      </c>
      <c r="C17" s="27" t="s">
        <v>40</v>
      </c>
      <c r="D17" s="45">
        <f t="shared" si="4"/>
        <v>35.809303977272727</v>
      </c>
      <c r="E17" s="43">
        <f t="shared" si="5"/>
        <v>321.42635414817119</v>
      </c>
      <c r="F17" s="43">
        <f t="shared" si="0"/>
        <v>84.308551907717032</v>
      </c>
      <c r="G17" s="46">
        <f t="shared" si="1"/>
        <v>2.9960068448622028</v>
      </c>
      <c r="H17" s="43">
        <f t="shared" si="6"/>
        <v>45.942826704545453</v>
      </c>
      <c r="I17" s="43">
        <f t="shared" si="7"/>
        <v>343.60662980513138</v>
      </c>
      <c r="J17" s="43">
        <f t="shared" si="2"/>
        <v>90.126329129214781</v>
      </c>
      <c r="K17" s="44">
        <f t="shared" si="3"/>
        <v>2.7347769528581409</v>
      </c>
    </row>
    <row r="18" spans="1:11" x14ac:dyDescent="0.25">
      <c r="A18" s="16" t="s">
        <v>1</v>
      </c>
      <c r="B18" s="12">
        <f t="shared" si="8"/>
        <v>96</v>
      </c>
      <c r="C18" s="27" t="s">
        <v>40</v>
      </c>
      <c r="D18" s="45">
        <f t="shared" si="4"/>
        <v>35.3251953125</v>
      </c>
      <c r="E18" s="43">
        <f t="shared" si="5"/>
        <v>320.36673609415692</v>
      </c>
      <c r="F18" s="43">
        <f t="shared" si="0"/>
        <v>84.030619303385421</v>
      </c>
      <c r="G18" s="46">
        <f t="shared" si="1"/>
        <v>3.0114899797003916</v>
      </c>
      <c r="H18" s="43">
        <f t="shared" si="6"/>
        <v>45.5751953125</v>
      </c>
      <c r="I18" s="43">
        <f t="shared" si="7"/>
        <v>342.80195744832355</v>
      </c>
      <c r="J18" s="43">
        <f t="shared" si="2"/>
        <v>89.915267527429123</v>
      </c>
      <c r="K18" s="44">
        <f t="shared" si="3"/>
        <v>2.7425678289999547</v>
      </c>
    </row>
    <row r="19" spans="1:11" x14ac:dyDescent="0.25">
      <c r="A19" s="16" t="s">
        <v>1</v>
      </c>
      <c r="B19" s="12">
        <f t="shared" si="8"/>
        <v>104</v>
      </c>
      <c r="C19" s="27" t="s">
        <v>40</v>
      </c>
      <c r="D19" s="45">
        <f t="shared" si="4"/>
        <v>34.915564903846153</v>
      </c>
      <c r="E19" s="43">
        <f t="shared" si="5"/>
        <v>319.4701362022987</v>
      </c>
      <c r="F19" s="43">
        <f t="shared" si="0"/>
        <v>83.795445561258674</v>
      </c>
      <c r="G19" s="46">
        <f t="shared" si="1"/>
        <v>3.0248622151415376</v>
      </c>
      <c r="H19" s="43">
        <f t="shared" si="6"/>
        <v>45.264122596153847</v>
      </c>
      <c r="I19" s="43">
        <f t="shared" si="7"/>
        <v>342.12108083871692</v>
      </c>
      <c r="J19" s="43">
        <f t="shared" si="2"/>
        <v>89.736676941302804</v>
      </c>
      <c r="K19" s="44">
        <f t="shared" si="3"/>
        <v>2.7492413323206284</v>
      </c>
    </row>
    <row r="20" spans="1:11" x14ac:dyDescent="0.25">
      <c r="A20" s="16" t="s">
        <v>1</v>
      </c>
      <c r="B20" s="12">
        <f t="shared" si="8"/>
        <v>112</v>
      </c>
      <c r="C20" s="27" t="s">
        <v>40</v>
      </c>
      <c r="D20" s="45">
        <f t="shared" si="4"/>
        <v>34.564453125</v>
      </c>
      <c r="E20" s="43">
        <f t="shared" si="5"/>
        <v>318.70162200927734</v>
      </c>
      <c r="F20" s="43">
        <f t="shared" si="0"/>
        <v>83.593868068007168</v>
      </c>
      <c r="G20" s="46">
        <f t="shared" si="1"/>
        <v>3.0365280126351166</v>
      </c>
      <c r="H20" s="43">
        <f t="shared" si="6"/>
        <v>44.997488839285715</v>
      </c>
      <c r="I20" s="43">
        <f t="shared" si="7"/>
        <v>341.53747231619701</v>
      </c>
      <c r="J20" s="43">
        <f t="shared" si="2"/>
        <v>89.583599296051673</v>
      </c>
      <c r="K20" s="44">
        <f t="shared" si="3"/>
        <v>2.7550218083046865</v>
      </c>
    </row>
    <row r="21" spans="1:11" x14ac:dyDescent="0.25">
      <c r="A21" s="16" t="s">
        <v>1</v>
      </c>
      <c r="B21" s="12">
        <f t="shared" si="8"/>
        <v>120</v>
      </c>
      <c r="C21" s="27" t="s">
        <v>40</v>
      </c>
      <c r="D21" s="45">
        <f t="shared" si="4"/>
        <v>34.260156250000001</v>
      </c>
      <c r="E21" s="43">
        <f t="shared" si="5"/>
        <v>318.03557637532555</v>
      </c>
      <c r="F21" s="43">
        <f t="shared" si="0"/>
        <v>83.419167573855887</v>
      </c>
      <c r="G21" s="46">
        <f t="shared" si="1"/>
        <v>3.0467946365489071</v>
      </c>
      <c r="H21" s="43">
        <f t="shared" si="6"/>
        <v>44.766406250000003</v>
      </c>
      <c r="I21" s="43">
        <f t="shared" si="7"/>
        <v>341.03167826334635</v>
      </c>
      <c r="J21" s="43">
        <f t="shared" si="2"/>
        <v>89.450932003500682</v>
      </c>
      <c r="K21" s="44">
        <f t="shared" si="3"/>
        <v>2.760077300402128</v>
      </c>
    </row>
  </sheetData>
  <sheetProtection algorithmName="SHA-512" hashValue="/pQ9XxDwHJUI/uwID0svnVZ1RseqdBfV/CjZ7ab+8pTPXNk3EdtNoNMka65aF607yMgkJPDttdsErbHTAfWt0g==" saltValue="vvexXMU0Kn/gVtybMttwjA==" spinCount="100000" sheet="1" objects="1" scenarios="1"/>
  <mergeCells count="7">
    <mergeCell ref="O9:P9"/>
    <mergeCell ref="A2:A3"/>
    <mergeCell ref="B2:B3"/>
    <mergeCell ref="C2:C3"/>
    <mergeCell ref="D2:G2"/>
    <mergeCell ref="H2:K2"/>
    <mergeCell ref="N9:N10"/>
  </mergeCells>
  <pageMargins left="0.7" right="0.7" top="0.75" bottom="0.75" header="0.3" footer="0.3"/>
  <pageSetup scale="6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zoomScaleNormal="100" workbookViewId="0"/>
  </sheetViews>
  <sheetFormatPr defaultColWidth="10.5546875" defaultRowHeight="15.75" x14ac:dyDescent="0.25"/>
  <cols>
    <col min="1" max="1" width="6.88671875" style="2" customWidth="1"/>
    <col min="2" max="2" width="9.88671875" style="2" customWidth="1"/>
    <col min="3" max="3" width="9.33203125" style="2" customWidth="1"/>
    <col min="4" max="11" width="9.88671875" style="2" customWidth="1"/>
    <col min="12" max="12" width="6.88671875" style="2" customWidth="1"/>
    <col min="13" max="13" width="5.109375" style="2" customWidth="1"/>
    <col min="14" max="16384" width="10.5546875" style="2"/>
  </cols>
  <sheetData>
    <row r="1" spans="1:18" x14ac:dyDescent="0.25">
      <c r="A1" s="5" t="s">
        <v>47</v>
      </c>
      <c r="E1"/>
      <c r="O1" s="11" t="s">
        <v>31</v>
      </c>
      <c r="P1" s="16">
        <f>'Inputs-Outputs'!I3</f>
        <v>8</v>
      </c>
    </row>
    <row r="2" spans="1:18" x14ac:dyDescent="0.25">
      <c r="A2" s="93" t="s">
        <v>7</v>
      </c>
      <c r="B2" s="93" t="s">
        <v>8</v>
      </c>
      <c r="C2" s="93" t="s">
        <v>6</v>
      </c>
      <c r="D2" s="91" t="s">
        <v>38</v>
      </c>
      <c r="E2" s="90"/>
      <c r="F2" s="90"/>
      <c r="G2" s="92"/>
      <c r="H2" s="90" t="s">
        <v>39</v>
      </c>
      <c r="I2" s="90"/>
      <c r="J2" s="90"/>
      <c r="K2" s="90"/>
      <c r="O2" s="11" t="s">
        <v>32</v>
      </c>
      <c r="P2" s="4">
        <f>'Inputs-Outputs'!H41</f>
        <v>0.375</v>
      </c>
    </row>
    <row r="3" spans="1:18" x14ac:dyDescent="0.25">
      <c r="A3" s="94"/>
      <c r="B3" s="95"/>
      <c r="C3" s="96"/>
      <c r="D3" s="38" t="s">
        <v>51</v>
      </c>
      <c r="E3" s="20" t="s">
        <v>52</v>
      </c>
      <c r="F3" s="20" t="s">
        <v>53</v>
      </c>
      <c r="G3" s="39" t="s">
        <v>54</v>
      </c>
      <c r="H3" s="20" t="s">
        <v>55</v>
      </c>
      <c r="I3" s="20" t="s">
        <v>56</v>
      </c>
      <c r="J3" s="20" t="s">
        <v>57</v>
      </c>
      <c r="K3" s="20" t="s">
        <v>58</v>
      </c>
      <c r="O3" s="11" t="s">
        <v>33</v>
      </c>
      <c r="P3" s="4">
        <f>P1-P2</f>
        <v>7.625</v>
      </c>
    </row>
    <row r="4" spans="1:18" ht="17.25" x14ac:dyDescent="0.3">
      <c r="A4" s="1" t="s">
        <v>1</v>
      </c>
      <c r="B4" s="3" t="s">
        <v>2</v>
      </c>
      <c r="C4" s="27" t="s">
        <v>40</v>
      </c>
      <c r="D4" s="8">
        <f>(($P$7+$P$2)*2*$P$4)*(12/($P$7+$P$2))</f>
        <v>30</v>
      </c>
      <c r="E4" s="6">
        <f>(((1/12)*($P$7+$P$2)*($P$3^3))-((1/12)*($P$7+$P$2)*(($P$3-2*$P$4)^3)))*(12/($P$7+$P$2))</f>
        <v>308.7109375</v>
      </c>
      <c r="F4" s="6">
        <f t="shared" ref="F4:F21" si="0">($E4/($P$3/2))</f>
        <v>80.973360655737707</v>
      </c>
      <c r="G4" s="7">
        <f t="shared" ref="G4:G21" si="1">($E4/$D4)^(1/2)</f>
        <v>3.207859813541317</v>
      </c>
      <c r="H4" s="8">
        <f>($D$6*(3*$P$5)/($P$6+$P$2))+($D4*(($P$6+$P$2)-(3*$P$5))/($P$6+$P$2))-((($P$3-(2*$P$4))*$P$2)*3)*((3*$P$5)/($P$6+$P$2))</f>
        <v>40.4501953125</v>
      </c>
      <c r="I4" s="6">
        <f>($E4*(($P$6+$P$2)-(3*$P$5))/($P$6+$P$2))+(($E$6*($P$7/8))*(3*$P$5)/($P$6+$P$2))</f>
        <v>330.05417442321777</v>
      </c>
      <c r="J4" s="6">
        <f t="shared" ref="J4:J21" si="2">($I4/($P$3/2))</f>
        <v>86.571586733958753</v>
      </c>
      <c r="K4" s="7">
        <f t="shared" ref="K4:K21" si="3">($I4/$H4)^(1/2)</f>
        <v>2.8564873393862182</v>
      </c>
      <c r="O4" s="11" t="s">
        <v>34</v>
      </c>
      <c r="P4" s="48">
        <f>_xlfn.XLOOKUP(P1,N12:N17,O12:O17)</f>
        <v>1.25</v>
      </c>
    </row>
    <row r="5" spans="1:18" ht="17.25" x14ac:dyDescent="0.3">
      <c r="A5" s="1" t="s">
        <v>1</v>
      </c>
      <c r="B5" s="3" t="s">
        <v>2</v>
      </c>
      <c r="C5" s="27" t="s">
        <v>3</v>
      </c>
      <c r="D5" s="9">
        <f>(($P$7+$P$2)*2*$P$4)*(12/($P$7+$P$2))</f>
        <v>30</v>
      </c>
      <c r="E5" s="6">
        <f>(((1/12)*($P$7+$P$2)*($P$3^3))-((1/12)*($P$7+$P$2)*(($P$3-2*$P$4)^3)))*(12/($P$7+$P$2))</f>
        <v>308.7109375</v>
      </c>
      <c r="F5" s="6">
        <f t="shared" si="0"/>
        <v>80.973360655737707</v>
      </c>
      <c r="G5" s="7">
        <f t="shared" si="1"/>
        <v>3.207859813541317</v>
      </c>
      <c r="H5" s="9">
        <f>($D$6*(3*$P$5)/($P$6+$P$2))+($D5*(($P$6+$P$2)-(3*$P$5))/($P$6+$P$2))</f>
        <v>41.53125</v>
      </c>
      <c r="I5" s="6">
        <f>($E5*(($P$6+$P$2)-(3*$P$5))/($P$6+$P$2))+($E$6*(3*$P$5)/($P$6+$P$2))</f>
        <v>333.9505615234375</v>
      </c>
      <c r="J5" s="6">
        <f t="shared" si="2"/>
        <v>87.593589907786878</v>
      </c>
      <c r="K5" s="7">
        <f t="shared" si="3"/>
        <v>2.8356562825665761</v>
      </c>
      <c r="O5" s="11" t="s">
        <v>35</v>
      </c>
      <c r="P5" s="48">
        <f>_xlfn.XLOOKUP(P1,N12:N17,P12:P17)</f>
        <v>1</v>
      </c>
    </row>
    <row r="6" spans="1:18" ht="16.5" customHeight="1" x14ac:dyDescent="0.25">
      <c r="A6" s="1" t="s">
        <v>4</v>
      </c>
      <c r="B6" s="3" t="s">
        <v>2</v>
      </c>
      <c r="C6" s="27" t="s">
        <v>3</v>
      </c>
      <c r="D6" s="9">
        <f>($P$3*($P$7+$P$2))*(12/($P$7+$P$2))</f>
        <v>91.5</v>
      </c>
      <c r="E6" s="6">
        <f>((1/12)*($P$7+$P$2)*($P$3^3))*(12/($P$7+$P$2))</f>
        <v>443.322265625</v>
      </c>
      <c r="F6" s="6">
        <f t="shared" si="0"/>
        <v>116.28125</v>
      </c>
      <c r="G6" s="7">
        <f t="shared" si="1"/>
        <v>2.2011479012854482</v>
      </c>
      <c r="H6" s="9">
        <f>($D$6*(3*$P$5)/($P$6+$P$2))+($D6*(($P$6+$P$2)-(3*$P$5))/($P$6+$P$2))</f>
        <v>91.5</v>
      </c>
      <c r="I6" s="6">
        <f>((1/12)*($P$7+$P$2)*($P$3^3))*(12/($P$7+$P$2))</f>
        <v>443.322265625</v>
      </c>
      <c r="J6" s="6">
        <f t="shared" si="2"/>
        <v>116.28125</v>
      </c>
      <c r="K6" s="7">
        <f t="shared" si="3"/>
        <v>2.2011479012854482</v>
      </c>
      <c r="O6" s="11" t="s">
        <v>36</v>
      </c>
      <c r="P6" s="4">
        <f>'Inputs-Outputs'!H39</f>
        <v>15.625</v>
      </c>
    </row>
    <row r="7" spans="1:18" x14ac:dyDescent="0.25">
      <c r="A7" s="1" t="s">
        <v>1</v>
      </c>
      <c r="B7" s="3">
        <v>8</v>
      </c>
      <c r="C7" s="27" t="s">
        <v>3</v>
      </c>
      <c r="D7" s="9">
        <f>($P$3*($P$7+$P$2))*(12/($P$7+$P$2))</f>
        <v>91.5</v>
      </c>
      <c r="E7" s="6">
        <f>((1/12)*($P$7+$P$2)*($P$3^3))*(12/($P$7+$P$2))</f>
        <v>443.322265625</v>
      </c>
      <c r="F7" s="6">
        <f t="shared" si="0"/>
        <v>116.28125</v>
      </c>
      <c r="G7" s="7">
        <f t="shared" si="1"/>
        <v>2.2011479012854482</v>
      </c>
      <c r="H7" s="9">
        <f>($D$6*(3*$P$5)/($P$6+$P$2))+($D7*(($P$6+$P$2)-(3*$P$5))/($P$6+$P$2))</f>
        <v>91.5</v>
      </c>
      <c r="I7" s="6">
        <f>((1/12)*($P$7+$P$2)*($P$3^3))*(12/($P$7+$P$2))</f>
        <v>443.322265625</v>
      </c>
      <c r="J7" s="6">
        <f t="shared" si="2"/>
        <v>116.28125</v>
      </c>
      <c r="K7" s="7">
        <f t="shared" si="3"/>
        <v>2.2011479012854482</v>
      </c>
      <c r="M7"/>
      <c r="O7" s="11" t="s">
        <v>37</v>
      </c>
      <c r="P7" s="4">
        <f>'Inputs-Outputs'!H40</f>
        <v>7.625</v>
      </c>
    </row>
    <row r="8" spans="1:18" x14ac:dyDescent="0.25">
      <c r="A8" s="1" t="s">
        <v>1</v>
      </c>
      <c r="B8" s="3">
        <f t="shared" ref="B8:B21" si="4">(B7+8)</f>
        <v>16</v>
      </c>
      <c r="C8" s="27" t="s">
        <v>40</v>
      </c>
      <c r="D8" s="9">
        <f t="shared" ref="D8:D21" si="5">(($P$7+$P$2)*2*$P$4)*(12/($P$7+$P$2))+(($P$3-(2*$P$4))*($P$7+$P$2)*(12/$B8))</f>
        <v>60.75</v>
      </c>
      <c r="E8" s="6">
        <f t="shared" ref="E8:E21" si="6">$E$4+((1/12)*(($P$7+$P$2)*(($P$3-(2*$P$4))^3)))*(12/$B8)</f>
        <v>376.0166015625</v>
      </c>
      <c r="F8" s="6">
        <f t="shared" si="0"/>
        <v>98.627305327868854</v>
      </c>
      <c r="G8" s="7">
        <f t="shared" si="1"/>
        <v>2.4878853848743927</v>
      </c>
      <c r="H8" s="9">
        <f t="shared" ref="H8:H21" si="7">$H$4+($P$3-(2*$P$4))*($P$7+$P$2)*(12/$B8)</f>
        <v>71.2001953125</v>
      </c>
      <c r="I8" s="6">
        <f t="shared" ref="I8:I21" si="8">$I$4+((1/12)*(($P$7+$P$2)*(($P$3-(2*$P$4))^3)))*(12/$B8)</f>
        <v>397.35983848571777</v>
      </c>
      <c r="J8" s="6">
        <f t="shared" si="2"/>
        <v>104.22553140608991</v>
      </c>
      <c r="K8" s="7">
        <f t="shared" si="3"/>
        <v>2.3623888965904185</v>
      </c>
      <c r="M8"/>
      <c r="N8"/>
      <c r="O8"/>
      <c r="P8"/>
      <c r="Q8"/>
      <c r="R8"/>
    </row>
    <row r="9" spans="1:18" ht="16.5" thickBot="1" x14ac:dyDescent="0.3">
      <c r="A9" s="1" t="s">
        <v>1</v>
      </c>
      <c r="B9" s="3">
        <f t="shared" si="4"/>
        <v>24</v>
      </c>
      <c r="C9" s="27" t="s">
        <v>40</v>
      </c>
      <c r="D9" s="9">
        <f t="shared" si="5"/>
        <v>50.5</v>
      </c>
      <c r="E9" s="6">
        <f t="shared" si="6"/>
        <v>353.58138020833331</v>
      </c>
      <c r="F9" s="6">
        <f t="shared" si="0"/>
        <v>92.742657103825138</v>
      </c>
      <c r="G9" s="7">
        <f t="shared" si="1"/>
        <v>2.6460558363862861</v>
      </c>
      <c r="H9" s="9">
        <f t="shared" si="7"/>
        <v>60.9501953125</v>
      </c>
      <c r="I9" s="6">
        <f t="shared" si="8"/>
        <v>374.92461713155109</v>
      </c>
      <c r="J9" s="6">
        <f t="shared" si="2"/>
        <v>98.340883182046184</v>
      </c>
      <c r="K9" s="7">
        <f t="shared" si="3"/>
        <v>2.4801870040518774</v>
      </c>
      <c r="M9"/>
      <c r="N9"/>
      <c r="O9"/>
      <c r="P9"/>
      <c r="Q9"/>
      <c r="R9"/>
    </row>
    <row r="10" spans="1:18" ht="15.95" customHeight="1" thickTop="1" x14ac:dyDescent="0.25">
      <c r="A10" s="1" t="s">
        <v>1</v>
      </c>
      <c r="B10" s="3">
        <f t="shared" si="4"/>
        <v>32</v>
      </c>
      <c r="C10" s="27" t="s">
        <v>40</v>
      </c>
      <c r="D10" s="9">
        <f t="shared" si="5"/>
        <v>45.375</v>
      </c>
      <c r="E10" s="6">
        <f t="shared" si="6"/>
        <v>342.36376953125</v>
      </c>
      <c r="F10" s="6">
        <f t="shared" si="0"/>
        <v>89.800332991803273</v>
      </c>
      <c r="G10" s="7">
        <f t="shared" si="1"/>
        <v>2.7468540263383163</v>
      </c>
      <c r="H10" s="9">
        <f t="shared" si="7"/>
        <v>55.8251953125</v>
      </c>
      <c r="I10" s="6">
        <f t="shared" si="8"/>
        <v>363.70700645446777</v>
      </c>
      <c r="J10" s="6">
        <f t="shared" si="2"/>
        <v>95.398559070024334</v>
      </c>
      <c r="K10" s="7">
        <f t="shared" si="3"/>
        <v>2.552470362706484</v>
      </c>
      <c r="M10"/>
      <c r="N10" s="79" t="s">
        <v>30</v>
      </c>
      <c r="O10" s="81" t="s">
        <v>22</v>
      </c>
      <c r="P10" s="82"/>
      <c r="Q10"/>
      <c r="R10"/>
    </row>
    <row r="11" spans="1:18" ht="17.25" x14ac:dyDescent="0.3">
      <c r="A11" s="1" t="s">
        <v>1</v>
      </c>
      <c r="B11" s="3">
        <f t="shared" si="4"/>
        <v>40</v>
      </c>
      <c r="C11" s="27" t="s">
        <v>40</v>
      </c>
      <c r="D11" s="9">
        <f t="shared" si="5"/>
        <v>42.3</v>
      </c>
      <c r="E11" s="6">
        <f t="shared" si="6"/>
        <v>335.63320312500002</v>
      </c>
      <c r="F11" s="6">
        <f t="shared" si="0"/>
        <v>88.034938524590174</v>
      </c>
      <c r="G11" s="7">
        <f t="shared" si="1"/>
        <v>2.8168406221200257</v>
      </c>
      <c r="H11" s="9">
        <f t="shared" si="7"/>
        <v>52.750195312499997</v>
      </c>
      <c r="I11" s="6">
        <f t="shared" si="8"/>
        <v>356.9764400482178</v>
      </c>
      <c r="J11" s="6">
        <f t="shared" si="2"/>
        <v>93.63316460281122</v>
      </c>
      <c r="K11" s="7">
        <f t="shared" si="3"/>
        <v>2.6014036251682304</v>
      </c>
      <c r="M11"/>
      <c r="N11" s="89"/>
      <c r="O11" s="52" t="s">
        <v>42</v>
      </c>
      <c r="P11" s="53" t="s">
        <v>43</v>
      </c>
      <c r="Q11"/>
      <c r="R11"/>
    </row>
    <row r="12" spans="1:18" x14ac:dyDescent="0.25">
      <c r="A12" s="1" t="s">
        <v>1</v>
      </c>
      <c r="B12" s="3">
        <f t="shared" si="4"/>
        <v>48</v>
      </c>
      <c r="C12" s="27" t="s">
        <v>40</v>
      </c>
      <c r="D12" s="9">
        <f t="shared" si="5"/>
        <v>40.25</v>
      </c>
      <c r="E12" s="6">
        <f t="shared" si="6"/>
        <v>331.14615885416669</v>
      </c>
      <c r="F12" s="6">
        <f t="shared" si="0"/>
        <v>86.858008879781423</v>
      </c>
      <c r="G12" s="7">
        <f t="shared" si="1"/>
        <v>2.8683154917742169</v>
      </c>
      <c r="H12" s="9">
        <f t="shared" si="7"/>
        <v>50.7001953125</v>
      </c>
      <c r="I12" s="6">
        <f t="shared" si="8"/>
        <v>352.48939577738446</v>
      </c>
      <c r="J12" s="6">
        <f t="shared" si="2"/>
        <v>92.456234958002483</v>
      </c>
      <c r="K12" s="7">
        <f t="shared" si="3"/>
        <v>2.6367454906898287</v>
      </c>
      <c r="M12"/>
      <c r="N12" s="49">
        <f>'Inputs-Outputs'!I38</f>
        <v>4</v>
      </c>
      <c r="O12" s="50">
        <f>'Inputs-Outputs'!J38</f>
        <v>0.75</v>
      </c>
      <c r="P12" s="51">
        <f>'Inputs-Outputs'!K38</f>
        <v>0.75</v>
      </c>
      <c r="Q12"/>
      <c r="R12"/>
    </row>
    <row r="13" spans="1:18" x14ac:dyDescent="0.25">
      <c r="A13" s="1" t="s">
        <v>1</v>
      </c>
      <c r="B13" s="3">
        <f t="shared" si="4"/>
        <v>56</v>
      </c>
      <c r="C13" s="27" t="s">
        <v>40</v>
      </c>
      <c r="D13" s="9">
        <f t="shared" si="5"/>
        <v>38.785714285714285</v>
      </c>
      <c r="E13" s="6">
        <f t="shared" si="6"/>
        <v>327.94112723214283</v>
      </c>
      <c r="F13" s="6">
        <f t="shared" si="0"/>
        <v>86.017344847775163</v>
      </c>
      <c r="G13" s="7">
        <f t="shared" si="1"/>
        <v>2.9077833511173061</v>
      </c>
      <c r="H13" s="9">
        <f t="shared" si="7"/>
        <v>49.235909598214285</v>
      </c>
      <c r="I13" s="6">
        <f t="shared" si="8"/>
        <v>349.28436415536061</v>
      </c>
      <c r="J13" s="6">
        <f t="shared" si="2"/>
        <v>91.615570925996224</v>
      </c>
      <c r="K13" s="7">
        <f t="shared" si="3"/>
        <v>2.6634747841486659</v>
      </c>
      <c r="M13"/>
      <c r="N13" s="33">
        <f>'Inputs-Outputs'!I39</f>
        <v>6</v>
      </c>
      <c r="O13" s="14">
        <f>'Inputs-Outputs'!J39</f>
        <v>1</v>
      </c>
      <c r="P13" s="32">
        <f>'Inputs-Outputs'!K39</f>
        <v>1</v>
      </c>
      <c r="Q13"/>
      <c r="R13"/>
    </row>
    <row r="14" spans="1:18" x14ac:dyDescent="0.25">
      <c r="A14" s="1" t="s">
        <v>1</v>
      </c>
      <c r="B14" s="3">
        <f t="shared" si="4"/>
        <v>64</v>
      </c>
      <c r="C14" s="27" t="s">
        <v>40</v>
      </c>
      <c r="D14" s="9">
        <f t="shared" si="5"/>
        <v>37.6875</v>
      </c>
      <c r="E14" s="6">
        <f t="shared" si="6"/>
        <v>325.537353515625</v>
      </c>
      <c r="F14" s="6">
        <f t="shared" si="0"/>
        <v>85.386846823770497</v>
      </c>
      <c r="G14" s="7">
        <f t="shared" si="1"/>
        <v>2.9390146407355155</v>
      </c>
      <c r="H14" s="9">
        <f t="shared" si="7"/>
        <v>48.1376953125</v>
      </c>
      <c r="I14" s="6">
        <f t="shared" si="8"/>
        <v>346.88059043884277</v>
      </c>
      <c r="J14" s="6">
        <f t="shared" si="2"/>
        <v>90.985072901991543</v>
      </c>
      <c r="K14" s="7">
        <f t="shared" si="3"/>
        <v>2.6844007594529646</v>
      </c>
      <c r="M14"/>
      <c r="N14" s="33">
        <f>'Inputs-Outputs'!I40</f>
        <v>8</v>
      </c>
      <c r="O14" s="14">
        <f>'Inputs-Outputs'!J40</f>
        <v>1.25</v>
      </c>
      <c r="P14" s="32">
        <f>'Inputs-Outputs'!K40</f>
        <v>1</v>
      </c>
      <c r="Q14"/>
      <c r="R14"/>
    </row>
    <row r="15" spans="1:18" x14ac:dyDescent="0.25">
      <c r="A15" s="1" t="s">
        <v>1</v>
      </c>
      <c r="B15" s="3">
        <f t="shared" si="4"/>
        <v>72</v>
      </c>
      <c r="C15" s="27" t="s">
        <v>40</v>
      </c>
      <c r="D15" s="9">
        <f t="shared" si="5"/>
        <v>36.833333333333336</v>
      </c>
      <c r="E15" s="6">
        <f t="shared" si="6"/>
        <v>323.66775173611109</v>
      </c>
      <c r="F15" s="6">
        <f t="shared" si="0"/>
        <v>84.896459471766846</v>
      </c>
      <c r="G15" s="7">
        <f t="shared" si="1"/>
        <v>2.9643481198470978</v>
      </c>
      <c r="H15" s="9">
        <f t="shared" si="7"/>
        <v>47.283528645833336</v>
      </c>
      <c r="I15" s="6">
        <f t="shared" si="8"/>
        <v>345.01098865932886</v>
      </c>
      <c r="J15" s="6">
        <f t="shared" si="2"/>
        <v>90.494685549987892</v>
      </c>
      <c r="K15" s="7">
        <f t="shared" si="3"/>
        <v>2.7012297498454783</v>
      </c>
      <c r="M15"/>
      <c r="N15" s="33">
        <f>'Inputs-Outputs'!I41</f>
        <v>10</v>
      </c>
      <c r="O15" s="14">
        <f>'Inputs-Outputs'!J41</f>
        <v>1.25</v>
      </c>
      <c r="P15" s="32">
        <f>'Inputs-Outputs'!K41</f>
        <v>1</v>
      </c>
      <c r="Q15"/>
      <c r="R15"/>
    </row>
    <row r="16" spans="1:18" ht="16.5" thickBot="1" x14ac:dyDescent="0.3">
      <c r="A16" s="1" t="s">
        <v>1</v>
      </c>
      <c r="B16" s="3">
        <f t="shared" si="4"/>
        <v>80</v>
      </c>
      <c r="C16" s="27" t="s">
        <v>40</v>
      </c>
      <c r="D16" s="9">
        <f t="shared" si="5"/>
        <v>36.15</v>
      </c>
      <c r="E16" s="6">
        <f t="shared" si="6"/>
        <v>322.17207031250001</v>
      </c>
      <c r="F16" s="6">
        <f t="shared" si="0"/>
        <v>84.504149590163934</v>
      </c>
      <c r="G16" s="7">
        <f t="shared" si="1"/>
        <v>2.9853124568587579</v>
      </c>
      <c r="H16" s="9">
        <f t="shared" si="7"/>
        <v>46.600195312499999</v>
      </c>
      <c r="I16" s="6">
        <f t="shared" si="8"/>
        <v>343.51530723571778</v>
      </c>
      <c r="J16" s="6">
        <f t="shared" si="2"/>
        <v>90.102375668384994</v>
      </c>
      <c r="K16" s="7">
        <f t="shared" si="3"/>
        <v>2.7150584193770908</v>
      </c>
      <c r="M16"/>
      <c r="N16" s="34">
        <f>'Inputs-Outputs'!I42</f>
        <v>12</v>
      </c>
      <c r="O16" s="35">
        <f>'Inputs-Outputs'!J42</f>
        <v>1.25</v>
      </c>
      <c r="P16" s="36">
        <f>'Inputs-Outputs'!K42</f>
        <v>1</v>
      </c>
      <c r="Q16"/>
      <c r="R16"/>
    </row>
    <row r="17" spans="1:18" ht="16.5" thickTop="1" x14ac:dyDescent="0.25">
      <c r="A17" s="1" t="s">
        <v>1</v>
      </c>
      <c r="B17" s="3">
        <f t="shared" si="4"/>
        <v>88</v>
      </c>
      <c r="C17" s="27" t="s">
        <v>40</v>
      </c>
      <c r="D17" s="9">
        <f t="shared" si="5"/>
        <v>35.590909090909093</v>
      </c>
      <c r="E17" s="6">
        <f t="shared" si="6"/>
        <v>320.94833096590907</v>
      </c>
      <c r="F17" s="6">
        <f t="shared" si="0"/>
        <v>84.183168777943365</v>
      </c>
      <c r="G17" s="7">
        <f t="shared" si="1"/>
        <v>3.0029494401401955</v>
      </c>
      <c r="H17" s="9">
        <f t="shared" si="7"/>
        <v>46.041104403409093</v>
      </c>
      <c r="I17" s="6">
        <f t="shared" si="8"/>
        <v>342.29156788912684</v>
      </c>
      <c r="J17" s="6">
        <f t="shared" si="2"/>
        <v>89.781394856164411</v>
      </c>
      <c r="K17" s="7">
        <f t="shared" si="3"/>
        <v>2.7266238803896523</v>
      </c>
      <c r="M17"/>
      <c r="N17"/>
      <c r="O17"/>
      <c r="P17"/>
      <c r="Q17"/>
      <c r="R17"/>
    </row>
    <row r="18" spans="1:18" x14ac:dyDescent="0.25">
      <c r="A18" s="1" t="s">
        <v>1</v>
      </c>
      <c r="B18" s="3">
        <f t="shared" si="4"/>
        <v>96</v>
      </c>
      <c r="C18" s="27" t="s">
        <v>40</v>
      </c>
      <c r="D18" s="9">
        <f t="shared" si="5"/>
        <v>35.125</v>
      </c>
      <c r="E18" s="6">
        <f t="shared" si="6"/>
        <v>319.92854817708331</v>
      </c>
      <c r="F18" s="6">
        <f t="shared" si="0"/>
        <v>83.915684767759558</v>
      </c>
      <c r="G18" s="7">
        <f t="shared" si="1"/>
        <v>3.0179937158812074</v>
      </c>
      <c r="H18" s="9">
        <f t="shared" si="7"/>
        <v>45.5751953125</v>
      </c>
      <c r="I18" s="6">
        <f t="shared" si="8"/>
        <v>341.27178510030109</v>
      </c>
      <c r="J18" s="6">
        <f t="shared" si="2"/>
        <v>89.513910845980618</v>
      </c>
      <c r="K18" s="7">
        <f t="shared" si="3"/>
        <v>2.7364399540575781</v>
      </c>
      <c r="M18"/>
      <c r="N18"/>
      <c r="O18"/>
      <c r="P18"/>
      <c r="Q18"/>
      <c r="R18"/>
    </row>
    <row r="19" spans="1:18" x14ac:dyDescent="0.25">
      <c r="A19" s="1" t="s">
        <v>1</v>
      </c>
      <c r="B19" s="3">
        <f t="shared" si="4"/>
        <v>104</v>
      </c>
      <c r="C19" s="27" t="s">
        <v>40</v>
      </c>
      <c r="D19" s="9">
        <f t="shared" si="5"/>
        <v>34.730769230769234</v>
      </c>
      <c r="E19" s="6">
        <f t="shared" si="6"/>
        <v>319.06565504807691</v>
      </c>
      <c r="F19" s="6">
        <f t="shared" si="0"/>
        <v>83.689352143757873</v>
      </c>
      <c r="G19" s="7">
        <f t="shared" si="1"/>
        <v>3.0309783060871958</v>
      </c>
      <c r="H19" s="9">
        <f t="shared" si="7"/>
        <v>45.180964543269234</v>
      </c>
      <c r="I19" s="6">
        <f t="shared" si="8"/>
        <v>340.40889197129468</v>
      </c>
      <c r="J19" s="6">
        <f t="shared" si="2"/>
        <v>89.287578221978933</v>
      </c>
      <c r="K19" s="7">
        <f t="shared" si="3"/>
        <v>2.7448758037044523</v>
      </c>
      <c r="M19"/>
      <c r="N19"/>
      <c r="O19"/>
      <c r="P19"/>
      <c r="Q19"/>
      <c r="R19"/>
    </row>
    <row r="20" spans="1:18" x14ac:dyDescent="0.25">
      <c r="A20" s="1" t="s">
        <v>1</v>
      </c>
      <c r="B20" s="3">
        <f t="shared" si="4"/>
        <v>112</v>
      </c>
      <c r="C20" s="27" t="s">
        <v>40</v>
      </c>
      <c r="D20" s="9">
        <f t="shared" si="5"/>
        <v>34.392857142857139</v>
      </c>
      <c r="E20" s="6">
        <f t="shared" si="6"/>
        <v>318.32603236607144</v>
      </c>
      <c r="F20" s="6">
        <f t="shared" si="0"/>
        <v>83.495352751756442</v>
      </c>
      <c r="G20" s="7">
        <f t="shared" si="1"/>
        <v>3.0422993890197438</v>
      </c>
      <c r="H20" s="9">
        <f t="shared" si="7"/>
        <v>44.843052455357139</v>
      </c>
      <c r="I20" s="6">
        <f t="shared" si="8"/>
        <v>339.66926928928922</v>
      </c>
      <c r="J20" s="6">
        <f t="shared" si="2"/>
        <v>89.093578829977503</v>
      </c>
      <c r="K20" s="7">
        <f t="shared" si="3"/>
        <v>2.7522035129668914</v>
      </c>
      <c r="M20"/>
      <c r="N20"/>
      <c r="O20"/>
      <c r="P20"/>
      <c r="Q20"/>
      <c r="R20"/>
    </row>
    <row r="21" spans="1:18" x14ac:dyDescent="0.25">
      <c r="A21" s="1" t="s">
        <v>1</v>
      </c>
      <c r="B21" s="3">
        <f t="shared" si="4"/>
        <v>120</v>
      </c>
      <c r="C21" s="27" t="s">
        <v>40</v>
      </c>
      <c r="D21" s="9">
        <f t="shared" si="5"/>
        <v>34.1</v>
      </c>
      <c r="E21" s="6">
        <f t="shared" si="6"/>
        <v>317.68502604166667</v>
      </c>
      <c r="F21" s="6">
        <f t="shared" si="0"/>
        <v>83.327219945355196</v>
      </c>
      <c r="G21" s="7">
        <f t="shared" si="1"/>
        <v>3.052257594553462</v>
      </c>
      <c r="H21" s="9">
        <f t="shared" si="7"/>
        <v>44.550195312500001</v>
      </c>
      <c r="I21" s="6">
        <f t="shared" si="8"/>
        <v>339.02826296488445</v>
      </c>
      <c r="J21" s="6">
        <f t="shared" si="2"/>
        <v>88.925446023576242</v>
      </c>
      <c r="K21" s="7">
        <f t="shared" si="3"/>
        <v>2.7586280387436828</v>
      </c>
      <c r="M21"/>
      <c r="N21"/>
      <c r="O21"/>
      <c r="P21"/>
      <c r="Q21"/>
    </row>
    <row r="22" spans="1:18" x14ac:dyDescent="0.25">
      <c r="M22"/>
      <c r="N22"/>
      <c r="O22"/>
      <c r="P22"/>
      <c r="Q22"/>
    </row>
    <row r="23" spans="1:18" x14ac:dyDescent="0.25">
      <c r="M23"/>
      <c r="N23"/>
      <c r="O23"/>
      <c r="P23"/>
      <c r="Q23"/>
    </row>
    <row r="24" spans="1:18" x14ac:dyDescent="0.25">
      <c r="M24"/>
      <c r="N24"/>
      <c r="O24"/>
      <c r="P24"/>
      <c r="Q24"/>
    </row>
    <row r="25" spans="1:18" x14ac:dyDescent="0.25">
      <c r="N25"/>
      <c r="O25"/>
      <c r="P25"/>
      <c r="Q25"/>
    </row>
  </sheetData>
  <sheetProtection algorithmName="SHA-512" hashValue="6rsjzZd1n4N9NgpGkSB41NKqLlstbrO2UV0EVaYhWUWJsfpmBiuC0+Kau0KELhH3H4JA2nfEma7U5fsbLTCbFQ==" saltValue="KxkxOeIKE+yYULo+1C1tng==" spinCount="100000" sheet="1" objects="1" scenarios="1"/>
  <mergeCells count="7">
    <mergeCell ref="N10:N11"/>
    <mergeCell ref="O10:P10"/>
    <mergeCell ref="H2:K2"/>
    <mergeCell ref="D2:G2"/>
    <mergeCell ref="A2:A3"/>
    <mergeCell ref="B2:B3"/>
    <mergeCell ref="C2:C3"/>
  </mergeCells>
  <phoneticPr fontId="0" type="noConversion"/>
  <pageMargins left="0.75" right="0.75" top="1" bottom="1" header="0.5" footer="0.5"/>
  <pageSetup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Notes</vt:lpstr>
      <vt:lpstr>Inputs-Outputs</vt:lpstr>
      <vt:lpstr>Horizontal Section Properties</vt:lpstr>
      <vt:lpstr>Vertical Section Properties</vt:lpstr>
    </vt:vector>
  </TitlesOfParts>
  <Company>NCMA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Thompson</dc:creator>
  <cp:lastModifiedBy>Jason Thompson</cp:lastModifiedBy>
  <cp:lastPrinted>2026-05-25T12:33:20Z</cp:lastPrinted>
  <dcterms:created xsi:type="dcterms:W3CDTF">1998-02-12T01:36:46Z</dcterms:created>
  <dcterms:modified xsi:type="dcterms:W3CDTF">2026-05-25T12:33:55Z</dcterms:modified>
</cp:coreProperties>
</file>